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ro\Documents\Работа\Лекции посты\сайт\"/>
    </mc:Choice>
  </mc:AlternateContent>
  <xr:revisionPtr revIDLastSave="0" documentId="13_ncr:1_{51860D77-460D-4D68-907A-17AC2D296A9B}" xr6:coauthVersionLast="40" xr6:coauthVersionMax="40" xr10:uidLastSave="{00000000-0000-0000-0000-000000000000}"/>
  <workbookProtection workbookAlgorithmName="SHA-512" workbookHashValue="k0vr8KXwSpF3cWXGwb+aLShZ21fvv7nlLQ3M7j5pyPUNtcVscBkpSFsN3EFzJrhM+fbNjxiu9Vp2u8nTU67jtA==" workbookSaltValue="8at+JB48FL3wu0nFm1naVQ==" workbookSpinCount="100000" lockStructure="1"/>
  <bookViews>
    <workbookView xWindow="0" yWindow="0" windowWidth="23040" windowHeight="9060" tabRatio="814" firstSheet="2" activeTab="2" xr2:uid="{00000000-000D-0000-FFFF-FFFF00000000}"/>
  </bookViews>
  <sheets>
    <sheet name="Калькулятор" sheetId="9" state="hidden" r:id="rId1"/>
    <sheet name="Смета " sheetId="10" state="hidden" r:id="rId2"/>
    <sheet name="Лист2" sheetId="11" r:id="rId3"/>
    <sheet name="Расценки рабочих" sheetId="12" state="hidden" r:id="rId4"/>
    <sheet name="Закупные" sheetId="13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Калькулятор!$A$2:$U$140</definedName>
    <definedName name="S_теплый_контур_в_осях">#REF!</definedName>
    <definedName name="S_фактическая">#REF!</definedName>
    <definedName name="S_холодный_контур">#REF!</definedName>
    <definedName name="_xlnm.Print_Area" localSheetId="4">Закупные!$B$2:$G$96</definedName>
    <definedName name="_xlnm.Print_Area" localSheetId="2">Лист2!$B$1:$K$334</definedName>
    <definedName name="толщина_утепления">'[1]0. Исходная'!$J$29:$O$29</definedName>
    <definedName name="Элементы_конструкции">'[1]2. База'!$B$226:$B$249</definedName>
  </definedNames>
  <calcPr calcId="191029"/>
</workbook>
</file>

<file path=xl/calcChain.xml><?xml version="1.0" encoding="utf-8"?>
<calcChain xmlns="http://schemas.openxmlformats.org/spreadsheetml/2006/main">
  <c r="E91" i="11" l="1"/>
  <c r="E79" i="11"/>
  <c r="E148" i="11"/>
  <c r="B296" i="11"/>
  <c r="E55" i="11" l="1"/>
  <c r="I42" i="11"/>
  <c r="J42" i="11" s="1"/>
  <c r="I41" i="11"/>
  <c r="J41" i="11" s="1"/>
  <c r="E217" i="11" l="1"/>
  <c r="E131" i="11"/>
  <c r="E102" i="11"/>
  <c r="E36" i="11"/>
  <c r="E33" i="11" l="1"/>
  <c r="E31" i="11"/>
  <c r="E29" i="11"/>
  <c r="E22" i="11"/>
  <c r="E20" i="11"/>
  <c r="E15" i="11"/>
  <c r="E17" i="11" s="1"/>
  <c r="I16" i="11" l="1"/>
  <c r="I22" i="11"/>
  <c r="I23" i="11"/>
  <c r="I24" i="11"/>
  <c r="I28" i="11"/>
  <c r="I29" i="11"/>
  <c r="I32" i="11"/>
  <c r="I35" i="11"/>
  <c r="I37" i="11"/>
  <c r="I39" i="11"/>
  <c r="I40" i="11"/>
  <c r="I43" i="11"/>
  <c r="I44" i="11"/>
  <c r="I45" i="11"/>
  <c r="I46" i="11"/>
  <c r="I48" i="11"/>
  <c r="I49" i="11"/>
  <c r="I50" i="11"/>
  <c r="I56" i="11"/>
  <c r="I57" i="11"/>
  <c r="I58" i="11"/>
  <c r="J58" i="11" s="1"/>
  <c r="G16" i="11"/>
  <c r="G23" i="11"/>
  <c r="G24" i="11"/>
  <c r="G28" i="11"/>
  <c r="G29" i="11"/>
  <c r="G32" i="11"/>
  <c r="G33" i="11"/>
  <c r="G35" i="11"/>
  <c r="G37" i="11"/>
  <c r="G39" i="11"/>
  <c r="G40" i="11"/>
  <c r="G43" i="11"/>
  <c r="G44" i="11"/>
  <c r="G45" i="11"/>
  <c r="G46" i="11"/>
  <c r="G48" i="11"/>
  <c r="G49" i="11"/>
  <c r="J49" i="11" s="1"/>
  <c r="G50" i="11"/>
  <c r="J50" i="11" s="1"/>
  <c r="G56" i="11"/>
  <c r="G57" i="11"/>
  <c r="G58" i="11"/>
  <c r="E52" i="11"/>
  <c r="I52" i="11" s="1"/>
  <c r="I33" i="11"/>
  <c r="E38" i="11"/>
  <c r="G38" i="11" s="1"/>
  <c r="I36" i="11"/>
  <c r="I31" i="11"/>
  <c r="E26" i="11"/>
  <c r="G22" i="11"/>
  <c r="I20" i="11"/>
  <c r="E18" i="11"/>
  <c r="E19" i="11" s="1"/>
  <c r="I15" i="11"/>
  <c r="B15" i="11"/>
  <c r="B17" i="11" s="1"/>
  <c r="B18" i="11" s="1"/>
  <c r="B20" i="11" s="1"/>
  <c r="B22" i="11" s="1"/>
  <c r="B26" i="11" s="1"/>
  <c r="B28" i="11" s="1"/>
  <c r="B30" i="11" s="1"/>
  <c r="B32" i="11" s="1"/>
  <c r="B35" i="11" s="1"/>
  <c r="B37" i="11" s="1"/>
  <c r="B38" i="11" s="1"/>
  <c r="B43" i="11" s="1"/>
  <c r="B54" i="11" s="1"/>
  <c r="B56" i="11" s="1"/>
  <c r="B57" i="11" s="1"/>
  <c r="I14" i="11"/>
  <c r="G14" i="11"/>
  <c r="I54" i="11" l="1"/>
  <c r="G54" i="11"/>
  <c r="G26" i="11"/>
  <c r="E27" i="11"/>
  <c r="G36" i="11"/>
  <c r="G18" i="11"/>
  <c r="I38" i="11"/>
  <c r="J38" i="11" s="1"/>
  <c r="J56" i="11"/>
  <c r="J48" i="11"/>
  <c r="I19" i="11"/>
  <c r="G19" i="11"/>
  <c r="I55" i="11"/>
  <c r="G55" i="11"/>
  <c r="I18" i="11"/>
  <c r="J18" i="11" s="1"/>
  <c r="G52" i="11"/>
  <c r="J52" i="11" s="1"/>
  <c r="J36" i="11"/>
  <c r="G20" i="11"/>
  <c r="J20" i="11" s="1"/>
  <c r="I26" i="11"/>
  <c r="G31" i="11"/>
  <c r="J31" i="11" s="1"/>
  <c r="G15" i="11"/>
  <c r="J37" i="11"/>
  <c r="J57" i="11"/>
  <c r="J16" i="11"/>
  <c r="J23" i="11"/>
  <c r="J14" i="11"/>
  <c r="J35" i="11"/>
  <c r="J43" i="11"/>
  <c r="J32" i="11"/>
  <c r="J39" i="11"/>
  <c r="E53" i="11"/>
  <c r="E30" i="11"/>
  <c r="J40" i="11"/>
  <c r="J45" i="11"/>
  <c r="J46" i="11"/>
  <c r="J24" i="11"/>
  <c r="J28" i="11"/>
  <c r="J22" i="11"/>
  <c r="J29" i="11"/>
  <c r="J33" i="11"/>
  <c r="J44" i="11"/>
  <c r="J54" i="11" l="1"/>
  <c r="J55" i="11"/>
  <c r="J26" i="11"/>
  <c r="J19" i="11"/>
  <c r="J15" i="11"/>
  <c r="G30" i="11"/>
  <c r="I30" i="11"/>
  <c r="G27" i="11"/>
  <c r="I27" i="11"/>
  <c r="G21" i="11"/>
  <c r="I21" i="11"/>
  <c r="I25" i="11"/>
  <c r="G25" i="11"/>
  <c r="I17" i="11"/>
  <c r="G17" i="11"/>
  <c r="J17" i="11" s="1"/>
  <c r="G53" i="11"/>
  <c r="I53" i="11"/>
  <c r="J53" i="11" l="1"/>
  <c r="J60" i="11"/>
  <c r="J61" i="11" s="1"/>
  <c r="J59" i="11"/>
  <c r="J21" i="11"/>
  <c r="J25" i="11"/>
  <c r="J27" i="11"/>
  <c r="J30" i="11"/>
  <c r="J62" i="11" l="1"/>
  <c r="J63" i="11" s="1"/>
  <c r="J64" i="11" s="1"/>
  <c r="G282" i="11"/>
  <c r="G285" i="11"/>
  <c r="G286" i="11"/>
  <c r="G290" i="11"/>
  <c r="G291" i="11"/>
  <c r="G295" i="11"/>
  <c r="G297" i="11"/>
  <c r="G301" i="11"/>
  <c r="G302" i="11"/>
  <c r="G303" i="11"/>
  <c r="G304" i="11"/>
  <c r="G305" i="11"/>
  <c r="I282" i="11"/>
  <c r="I285" i="11"/>
  <c r="J285" i="11" s="1"/>
  <c r="I286" i="11"/>
  <c r="I290" i="11"/>
  <c r="I291" i="11"/>
  <c r="I295" i="11"/>
  <c r="I297" i="11"/>
  <c r="I301" i="11"/>
  <c r="I302" i="11"/>
  <c r="I303" i="11"/>
  <c r="I304" i="11"/>
  <c r="I305" i="11"/>
  <c r="G98" i="11"/>
  <c r="I100" i="11"/>
  <c r="J100" i="11" s="1"/>
  <c r="E99" i="11"/>
  <c r="G99" i="11" s="1"/>
  <c r="I217" i="11"/>
  <c r="J217" i="11" s="1"/>
  <c r="I102" i="11"/>
  <c r="J102" i="11" s="1"/>
  <c r="I169" i="11"/>
  <c r="J169" i="11" s="1"/>
  <c r="I131" i="11"/>
  <c r="J131" i="11" s="1"/>
  <c r="E284" i="11"/>
  <c r="I284" i="11" s="1"/>
  <c r="E287" i="11"/>
  <c r="I287" i="11" s="1"/>
  <c r="E289" i="11"/>
  <c r="G289" i="11" s="1"/>
  <c r="E298" i="11"/>
  <c r="I298" i="11" s="1"/>
  <c r="G249" i="11"/>
  <c r="G250" i="11"/>
  <c r="G252" i="11"/>
  <c r="G253" i="11"/>
  <c r="G255" i="11"/>
  <c r="G256" i="11"/>
  <c r="G257" i="11"/>
  <c r="G258" i="11"/>
  <c r="G259" i="11"/>
  <c r="G261" i="11"/>
  <c r="G262" i="11"/>
  <c r="G264" i="11"/>
  <c r="G265" i="11"/>
  <c r="G266" i="11"/>
  <c r="G268" i="11"/>
  <c r="G269" i="11"/>
  <c r="G270" i="11"/>
  <c r="I249" i="11"/>
  <c r="I250" i="11"/>
  <c r="I252" i="11"/>
  <c r="I253" i="11"/>
  <c r="I255" i="11"/>
  <c r="I256" i="11"/>
  <c r="I257" i="11"/>
  <c r="I258" i="11"/>
  <c r="I259" i="11"/>
  <c r="I261" i="11"/>
  <c r="I262" i="11"/>
  <c r="I264" i="11"/>
  <c r="I265" i="11"/>
  <c r="I266" i="11"/>
  <c r="I268" i="11"/>
  <c r="I269" i="11"/>
  <c r="I270" i="11"/>
  <c r="I248" i="11"/>
  <c r="I209" i="11"/>
  <c r="G206" i="11"/>
  <c r="E207" i="11"/>
  <c r="I207" i="11" s="1"/>
  <c r="I185" i="11"/>
  <c r="I186" i="11"/>
  <c r="I187" i="11"/>
  <c r="I188" i="11"/>
  <c r="I191" i="11"/>
  <c r="I195" i="11"/>
  <c r="I198" i="11"/>
  <c r="I200" i="11"/>
  <c r="I205" i="11"/>
  <c r="I206" i="11"/>
  <c r="I210" i="11"/>
  <c r="I211" i="11"/>
  <c r="I213" i="11"/>
  <c r="I214" i="11"/>
  <c r="I215" i="11"/>
  <c r="I218" i="11"/>
  <c r="I219" i="11"/>
  <c r="I220" i="11"/>
  <c r="I124" i="11"/>
  <c r="I129" i="11"/>
  <c r="I132" i="11"/>
  <c r="I133" i="11"/>
  <c r="I134" i="11"/>
  <c r="I115" i="11"/>
  <c r="G124" i="11"/>
  <c r="G70" i="11"/>
  <c r="G72" i="11"/>
  <c r="G73" i="11"/>
  <c r="G83" i="11"/>
  <c r="G89" i="11"/>
  <c r="G90" i="11"/>
  <c r="G91" i="11"/>
  <c r="G103" i="11"/>
  <c r="G104" i="11"/>
  <c r="G105" i="11"/>
  <c r="I70" i="11"/>
  <c r="I72" i="11"/>
  <c r="I73" i="11"/>
  <c r="I83" i="11"/>
  <c r="I89" i="11"/>
  <c r="I90" i="11"/>
  <c r="I91" i="11"/>
  <c r="I98" i="11"/>
  <c r="I103" i="11"/>
  <c r="I104" i="11"/>
  <c r="I105" i="11"/>
  <c r="J297" i="11" l="1"/>
  <c r="J252" i="11"/>
  <c r="D2" i="11"/>
  <c r="J291" i="11"/>
  <c r="J304" i="11"/>
  <c r="J290" i="11"/>
  <c r="J286" i="11"/>
  <c r="J305" i="11"/>
  <c r="I289" i="11"/>
  <c r="J289" i="11" s="1"/>
  <c r="J295" i="11"/>
  <c r="J282" i="11"/>
  <c r="G287" i="11"/>
  <c r="J287" i="11" s="1"/>
  <c r="J302" i="11"/>
  <c r="J303" i="11"/>
  <c r="J301" i="11"/>
  <c r="G284" i="11"/>
  <c r="J284" i="11" s="1"/>
  <c r="G298" i="11"/>
  <c r="J298" i="11" s="1"/>
  <c r="J256" i="11"/>
  <c r="I99" i="11"/>
  <c r="J99" i="11" s="1"/>
  <c r="J269" i="11"/>
  <c r="J105" i="11"/>
  <c r="J73" i="11"/>
  <c r="J255" i="11"/>
  <c r="J268" i="11"/>
  <c r="J253" i="11"/>
  <c r="J264" i="11"/>
  <c r="J262" i="11"/>
  <c r="J261" i="11"/>
  <c r="J270" i="11"/>
  <c r="J259" i="11"/>
  <c r="J249" i="11"/>
  <c r="J258" i="11"/>
  <c r="J257" i="11"/>
  <c r="J266" i="11"/>
  <c r="J265" i="11"/>
  <c r="J250" i="11"/>
  <c r="J90" i="11"/>
  <c r="J89" i="11"/>
  <c r="J124" i="11"/>
  <c r="J72" i="11"/>
  <c r="G207" i="11"/>
  <c r="J207" i="11" s="1"/>
  <c r="E208" i="11"/>
  <c r="J70" i="11"/>
  <c r="J83" i="11"/>
  <c r="J98" i="11"/>
  <c r="J103" i="11"/>
  <c r="J91" i="11"/>
  <c r="J104" i="11"/>
  <c r="I208" i="11" l="1"/>
  <c r="G208" i="11"/>
  <c r="E75" i="11"/>
  <c r="E74" i="11"/>
  <c r="E76" i="11"/>
  <c r="E69" i="11"/>
  <c r="J208" i="11" l="1"/>
  <c r="I76" i="11"/>
  <c r="G76" i="11"/>
  <c r="G69" i="11"/>
  <c r="I69" i="11"/>
  <c r="J69" i="11" s="1"/>
  <c r="I74" i="11"/>
  <c r="G74" i="11"/>
  <c r="G75" i="11"/>
  <c r="I75" i="11"/>
  <c r="J76" i="11" l="1"/>
  <c r="J75" i="11"/>
  <c r="J74" i="11"/>
  <c r="G215" i="11"/>
  <c r="E300" i="11"/>
  <c r="E299" i="11"/>
  <c r="E281" i="11"/>
  <c r="E280" i="11"/>
  <c r="E283" i="11"/>
  <c r="G281" i="11" l="1"/>
  <c r="I281" i="11"/>
  <c r="I300" i="11"/>
  <c r="G300" i="11"/>
  <c r="G299" i="11"/>
  <c r="I299" i="11"/>
  <c r="I283" i="11"/>
  <c r="G283" i="11"/>
  <c r="J283" i="11" s="1"/>
  <c r="E288" i="11"/>
  <c r="I236" i="11"/>
  <c r="E267" i="11"/>
  <c r="E263" i="11"/>
  <c r="E260" i="11"/>
  <c r="E254" i="11"/>
  <c r="E251" i="11"/>
  <c r="E212" i="11"/>
  <c r="I212" i="11" s="1"/>
  <c r="G209" i="11"/>
  <c r="G210" i="11"/>
  <c r="G211" i="11"/>
  <c r="G213" i="11"/>
  <c r="G214" i="11"/>
  <c r="G220" i="11"/>
  <c r="G219" i="11"/>
  <c r="G198" i="11"/>
  <c r="E196" i="11"/>
  <c r="I196" i="11" s="1"/>
  <c r="E190" i="11"/>
  <c r="G191" i="11"/>
  <c r="E189" i="11"/>
  <c r="G187" i="11"/>
  <c r="G186" i="11"/>
  <c r="E183" i="11"/>
  <c r="E184" i="11"/>
  <c r="E166" i="11"/>
  <c r="I166" i="11" s="1"/>
  <c r="E161" i="11"/>
  <c r="G161" i="11" s="1"/>
  <c r="E163" i="11"/>
  <c r="E162" i="11"/>
  <c r="I162" i="11" s="1"/>
  <c r="E147" i="11"/>
  <c r="I147" i="11" s="1"/>
  <c r="E146" i="11"/>
  <c r="G146" i="11" s="1"/>
  <c r="E145" i="11"/>
  <c r="I172" i="11"/>
  <c r="G172" i="11"/>
  <c r="I171" i="11"/>
  <c r="G171" i="11"/>
  <c r="I170" i="11"/>
  <c r="G170" i="11"/>
  <c r="I167" i="11"/>
  <c r="G167" i="11"/>
  <c r="E164" i="11"/>
  <c r="E165" i="11" s="1"/>
  <c r="I160" i="11"/>
  <c r="G160" i="11"/>
  <c r="I159" i="11"/>
  <c r="G159" i="11"/>
  <c r="I158" i="11"/>
  <c r="G158" i="11"/>
  <c r="I152" i="11"/>
  <c r="G152" i="11"/>
  <c r="G144" i="11"/>
  <c r="I182" i="11"/>
  <c r="G182" i="11"/>
  <c r="G133" i="11"/>
  <c r="J133" i="11" s="1"/>
  <c r="G132" i="11"/>
  <c r="J132" i="11" s="1"/>
  <c r="G248" i="11"/>
  <c r="J299" i="11" l="1"/>
  <c r="J300" i="11"/>
  <c r="I288" i="11"/>
  <c r="G288" i="11"/>
  <c r="J281" i="11"/>
  <c r="I184" i="11"/>
  <c r="G145" i="11"/>
  <c r="E168" i="11"/>
  <c r="I260" i="11"/>
  <c r="G260" i="11"/>
  <c r="J260" i="11" s="1"/>
  <c r="I263" i="11"/>
  <c r="G263" i="11"/>
  <c r="I251" i="11"/>
  <c r="G251" i="11"/>
  <c r="I267" i="11"/>
  <c r="G267" i="11"/>
  <c r="J267" i="11" s="1"/>
  <c r="G254" i="11"/>
  <c r="I254" i="11"/>
  <c r="G183" i="11"/>
  <c r="I183" i="11"/>
  <c r="G189" i="11"/>
  <c r="I189" i="11"/>
  <c r="G190" i="11"/>
  <c r="I190" i="11"/>
  <c r="J236" i="11"/>
  <c r="J187" i="11"/>
  <c r="G163" i="11"/>
  <c r="G212" i="11"/>
  <c r="J212" i="11" s="1"/>
  <c r="J210" i="11"/>
  <c r="J219" i="11"/>
  <c r="J209" i="11"/>
  <c r="J220" i="11"/>
  <c r="E197" i="11"/>
  <c r="I197" i="11" s="1"/>
  <c r="J213" i="11"/>
  <c r="J198" i="11"/>
  <c r="J211" i="11"/>
  <c r="J214" i="11"/>
  <c r="J191" i="11"/>
  <c r="J215" i="11"/>
  <c r="J186" i="11"/>
  <c r="J170" i="11"/>
  <c r="I146" i="11"/>
  <c r="J146" i="11" s="1"/>
  <c r="G185" i="11"/>
  <c r="J185" i="11" s="1"/>
  <c r="E192" i="11"/>
  <c r="I192" i="11" s="1"/>
  <c r="J152" i="11"/>
  <c r="J160" i="11"/>
  <c r="J171" i="11"/>
  <c r="G184" i="11"/>
  <c r="J182" i="11"/>
  <c r="J158" i="11"/>
  <c r="J167" i="11"/>
  <c r="I145" i="11"/>
  <c r="J145" i="11" s="1"/>
  <c r="J159" i="11"/>
  <c r="G147" i="11"/>
  <c r="J147" i="11" s="1"/>
  <c r="I161" i="11"/>
  <c r="J161" i="11" s="1"/>
  <c r="I163" i="11"/>
  <c r="J172" i="11"/>
  <c r="G165" i="11"/>
  <c r="I165" i="11"/>
  <c r="I144" i="11"/>
  <c r="G164" i="11"/>
  <c r="I164" i="11"/>
  <c r="G162" i="11"/>
  <c r="J162" i="11" s="1"/>
  <c r="G166" i="11"/>
  <c r="J166" i="11" s="1"/>
  <c r="J248" i="11"/>
  <c r="J288" i="11" l="1"/>
  <c r="J189" i="11"/>
  <c r="J251" i="11"/>
  <c r="J183" i="11"/>
  <c r="J184" i="11"/>
  <c r="J263" i="11"/>
  <c r="G168" i="11"/>
  <c r="I168" i="11"/>
  <c r="J168" i="11" s="1"/>
  <c r="J190" i="11"/>
  <c r="J254" i="11"/>
  <c r="J163" i="11"/>
  <c r="E193" i="11"/>
  <c r="I193" i="11" s="1"/>
  <c r="G192" i="11"/>
  <c r="J192" i="11" s="1"/>
  <c r="E150" i="11"/>
  <c r="E149" i="11"/>
  <c r="J144" i="11"/>
  <c r="J165" i="11"/>
  <c r="J164" i="11"/>
  <c r="E151" i="11"/>
  <c r="G148" i="11"/>
  <c r="I148" i="11"/>
  <c r="G193" i="11" l="1"/>
  <c r="J193" i="11" s="1"/>
  <c r="J148" i="11"/>
  <c r="G150" i="11"/>
  <c r="E154" i="11"/>
  <c r="I150" i="11"/>
  <c r="I149" i="11"/>
  <c r="G149" i="11"/>
  <c r="E153" i="11"/>
  <c r="I151" i="11"/>
  <c r="G151" i="11"/>
  <c r="J149" i="11" l="1"/>
  <c r="J151" i="11"/>
  <c r="G154" i="11"/>
  <c r="I154" i="11"/>
  <c r="J150" i="11"/>
  <c r="G153" i="11"/>
  <c r="E155" i="11"/>
  <c r="I153" i="11"/>
  <c r="J153" i="11" l="1"/>
  <c r="J154" i="11"/>
  <c r="G155" i="11"/>
  <c r="E156" i="11"/>
  <c r="I155" i="11"/>
  <c r="E157" i="11"/>
  <c r="I157" i="11" l="1"/>
  <c r="G157" i="11"/>
  <c r="I156" i="11"/>
  <c r="G156" i="11"/>
  <c r="J155" i="11"/>
  <c r="J174" i="11" l="1"/>
  <c r="J175" i="11" s="1"/>
  <c r="J157" i="11"/>
  <c r="J173" i="11"/>
  <c r="J156" i="11"/>
  <c r="J176" i="11" l="1"/>
  <c r="J177" i="11" l="1"/>
  <c r="J178" i="11" s="1"/>
  <c r="D5" i="11" s="1"/>
  <c r="E118" i="11"/>
  <c r="E117" i="11"/>
  <c r="E116" i="11"/>
  <c r="E97" i="11"/>
  <c r="E92" i="11"/>
  <c r="E94" i="11"/>
  <c r="E93" i="11"/>
  <c r="E71" i="11"/>
  <c r="E78" i="11"/>
  <c r="E77" i="11"/>
  <c r="E101" i="11" l="1"/>
  <c r="I101" i="11" s="1"/>
  <c r="I116" i="11"/>
  <c r="I118" i="11"/>
  <c r="E119" i="11"/>
  <c r="I119" i="11" s="1"/>
  <c r="I92" i="11"/>
  <c r="G92" i="11"/>
  <c r="G117" i="11"/>
  <c r="I117" i="11"/>
  <c r="G94" i="11"/>
  <c r="I94" i="11"/>
  <c r="G78" i="11"/>
  <c r="I78" i="11"/>
  <c r="J78" i="11" s="1"/>
  <c r="I93" i="11"/>
  <c r="G93" i="11"/>
  <c r="I97" i="11"/>
  <c r="G97" i="11"/>
  <c r="I77" i="11"/>
  <c r="G77" i="11"/>
  <c r="G71" i="11"/>
  <c r="I71" i="11"/>
  <c r="J71" i="11" s="1"/>
  <c r="G118" i="11"/>
  <c r="J118" i="11" s="1"/>
  <c r="G116" i="11"/>
  <c r="J116" i="11" s="1"/>
  <c r="E120" i="11"/>
  <c r="E125" i="11" s="1"/>
  <c r="F90" i="9"/>
  <c r="K90" i="9" s="1"/>
  <c r="C107" i="10"/>
  <c r="H107" i="10" s="1"/>
  <c r="C84" i="10"/>
  <c r="A5" i="9"/>
  <c r="A6" i="9"/>
  <c r="F7" i="9"/>
  <c r="F8" i="9"/>
  <c r="A8" i="9" s="1"/>
  <c r="A9" i="9"/>
  <c r="A10" i="9"/>
  <c r="F12" i="9"/>
  <c r="K12" i="9" s="1"/>
  <c r="J12" i="9"/>
  <c r="A13" i="9"/>
  <c r="G13" i="9"/>
  <c r="H13" i="9"/>
  <c r="J13" i="9"/>
  <c r="K13" i="9" s="1"/>
  <c r="F14" i="9"/>
  <c r="G14" i="9"/>
  <c r="J14" i="9" s="1"/>
  <c r="F15" i="9"/>
  <c r="F26" i="9" s="1"/>
  <c r="G15" i="9"/>
  <c r="F16" i="9"/>
  <c r="F27" i="9" s="1"/>
  <c r="G16" i="9"/>
  <c r="J16" i="9" s="1"/>
  <c r="A17" i="9"/>
  <c r="G17" i="9"/>
  <c r="G18" i="9"/>
  <c r="J18" i="9"/>
  <c r="G19" i="9"/>
  <c r="J19" i="9" s="1"/>
  <c r="G20" i="9"/>
  <c r="J20" i="9" s="1"/>
  <c r="J21" i="9"/>
  <c r="F22" i="9"/>
  <c r="A22" i="9" s="1"/>
  <c r="G22" i="9"/>
  <c r="J25" i="9"/>
  <c r="J26" i="9"/>
  <c r="J27" i="9"/>
  <c r="F28" i="9"/>
  <c r="J28" i="9"/>
  <c r="K28" i="9"/>
  <c r="J29" i="9"/>
  <c r="J30" i="9"/>
  <c r="J31" i="9"/>
  <c r="J32" i="9"/>
  <c r="J33" i="9"/>
  <c r="J34" i="9"/>
  <c r="J35" i="9"/>
  <c r="F36" i="9"/>
  <c r="J36" i="9"/>
  <c r="A37" i="9"/>
  <c r="F40" i="9"/>
  <c r="J40" i="9"/>
  <c r="A41" i="9"/>
  <c r="H41" i="9"/>
  <c r="J41" i="9"/>
  <c r="K41" i="9" s="1"/>
  <c r="A42" i="9"/>
  <c r="H42" i="9"/>
  <c r="J42" i="9"/>
  <c r="K42" i="9" s="1"/>
  <c r="A43" i="9"/>
  <c r="H43" i="9"/>
  <c r="J43" i="9"/>
  <c r="K43" i="9"/>
  <c r="A44" i="9"/>
  <c r="H44" i="9"/>
  <c r="J44" i="9"/>
  <c r="K44" i="9" s="1"/>
  <c r="A45" i="9"/>
  <c r="H45" i="9"/>
  <c r="J45" i="9"/>
  <c r="K45" i="9"/>
  <c r="A46" i="9"/>
  <c r="H46" i="9"/>
  <c r="J46" i="9"/>
  <c r="K46" i="9" s="1"/>
  <c r="A47" i="9"/>
  <c r="A48" i="9"/>
  <c r="F53" i="9"/>
  <c r="H53" i="9" s="1"/>
  <c r="J53" i="9"/>
  <c r="F54" i="9"/>
  <c r="F76" i="9" s="1"/>
  <c r="G54" i="9"/>
  <c r="J54" i="9" s="1"/>
  <c r="A55" i="9"/>
  <c r="G55" i="9"/>
  <c r="H55" i="9" s="1"/>
  <c r="G56" i="9"/>
  <c r="J56" i="9" s="1"/>
  <c r="F57" i="9"/>
  <c r="F66" i="9" s="1"/>
  <c r="K66" i="9" s="1"/>
  <c r="J57" i="9"/>
  <c r="G58" i="9"/>
  <c r="J58" i="9"/>
  <c r="G59" i="9"/>
  <c r="J59" i="9" s="1"/>
  <c r="F60" i="9"/>
  <c r="G60" i="9"/>
  <c r="J60" i="9" s="1"/>
  <c r="G62" i="9"/>
  <c r="J62" i="9"/>
  <c r="F63" i="9"/>
  <c r="H63" i="9" s="1"/>
  <c r="J63" i="9"/>
  <c r="J64" i="9"/>
  <c r="J65" i="9"/>
  <c r="J66" i="9"/>
  <c r="F67" i="9"/>
  <c r="J67" i="9"/>
  <c r="J68" i="9"/>
  <c r="F69" i="9"/>
  <c r="J69" i="9"/>
  <c r="A70" i="9"/>
  <c r="G70" i="9"/>
  <c r="J71" i="9"/>
  <c r="J74" i="9"/>
  <c r="J75" i="9"/>
  <c r="J76" i="9"/>
  <c r="J77" i="9"/>
  <c r="J78" i="9"/>
  <c r="J79" i="9"/>
  <c r="J80" i="9"/>
  <c r="F81" i="9"/>
  <c r="H81" i="9" s="1"/>
  <c r="J81" i="9"/>
  <c r="D82" i="9"/>
  <c r="J82" i="9"/>
  <c r="D83" i="9"/>
  <c r="J83" i="9"/>
  <c r="D84" i="9"/>
  <c r="F84" i="9"/>
  <c r="J84" i="9"/>
  <c r="D85" i="9"/>
  <c r="F85" i="9"/>
  <c r="H85" i="9" s="1"/>
  <c r="J85" i="9"/>
  <c r="J86" i="9"/>
  <c r="F87" i="9"/>
  <c r="J87" i="9"/>
  <c r="F88" i="9"/>
  <c r="J88" i="9"/>
  <c r="J90" i="9"/>
  <c r="J92" i="9"/>
  <c r="F93" i="9"/>
  <c r="H93" i="9" s="1"/>
  <c r="J93" i="9"/>
  <c r="F94" i="9"/>
  <c r="K94" i="9" s="1"/>
  <c r="J94" i="9"/>
  <c r="F95" i="9"/>
  <c r="H95" i="9" s="1"/>
  <c r="J95" i="9"/>
  <c r="K95" i="9"/>
  <c r="F97" i="9"/>
  <c r="A97" i="9" s="1"/>
  <c r="J97" i="9"/>
  <c r="J98" i="9"/>
  <c r="F99" i="9"/>
  <c r="K99" i="9" s="1"/>
  <c r="J99" i="9"/>
  <c r="F100" i="9"/>
  <c r="J100" i="9"/>
  <c r="J102" i="9"/>
  <c r="F103" i="9"/>
  <c r="A103" i="9" s="1"/>
  <c r="J103" i="9"/>
  <c r="F104" i="9"/>
  <c r="J104" i="9"/>
  <c r="F105" i="9"/>
  <c r="J105" i="9"/>
  <c r="J107" i="9"/>
  <c r="J109" i="9"/>
  <c r="F110" i="9"/>
  <c r="J110" i="9"/>
  <c r="F111" i="9"/>
  <c r="J111" i="9"/>
  <c r="J113" i="9"/>
  <c r="F115" i="9"/>
  <c r="H115" i="9" s="1"/>
  <c r="J115" i="9"/>
  <c r="J116" i="9"/>
  <c r="J117" i="9"/>
  <c r="J118" i="9"/>
  <c r="F120" i="9"/>
  <c r="J120" i="9"/>
  <c r="F121" i="9"/>
  <c r="J121" i="9"/>
  <c r="J122" i="9"/>
  <c r="F124" i="9"/>
  <c r="J124" i="9"/>
  <c r="J125" i="9"/>
  <c r="J126" i="9"/>
  <c r="J127" i="9"/>
  <c r="J128" i="9"/>
  <c r="J129" i="9"/>
  <c r="D130" i="9"/>
  <c r="F130" i="9"/>
  <c r="J130" i="9"/>
  <c r="F131" i="9"/>
  <c r="J131" i="9"/>
  <c r="J132" i="9"/>
  <c r="J133" i="9"/>
  <c r="J134" i="9"/>
  <c r="J137" i="9"/>
  <c r="A138" i="9"/>
  <c r="A139" i="9"/>
  <c r="F144" i="9"/>
  <c r="G144" i="9"/>
  <c r="J144" i="9"/>
  <c r="F145" i="9"/>
  <c r="A145" i="9" s="1"/>
  <c r="G145" i="9"/>
  <c r="J145" i="9" s="1"/>
  <c r="F146" i="9"/>
  <c r="A146" i="9" s="1"/>
  <c r="G146" i="9"/>
  <c r="F147" i="9"/>
  <c r="G147" i="9"/>
  <c r="J147" i="9"/>
  <c r="F148" i="9"/>
  <c r="G148" i="9"/>
  <c r="J148" i="9" s="1"/>
  <c r="F149" i="9"/>
  <c r="G149" i="9"/>
  <c r="J149" i="9" s="1"/>
  <c r="F150" i="9"/>
  <c r="F192" i="9" s="1"/>
  <c r="J150" i="9"/>
  <c r="H151" i="9"/>
  <c r="J151" i="9"/>
  <c r="K151" i="9" s="1"/>
  <c r="A152" i="9"/>
  <c r="G152" i="9"/>
  <c r="A153" i="9"/>
  <c r="G153" i="9"/>
  <c r="J154" i="9"/>
  <c r="A155" i="9"/>
  <c r="G155" i="9"/>
  <c r="H155" i="9" s="1"/>
  <c r="A156" i="9"/>
  <c r="H156" i="9"/>
  <c r="J156" i="9"/>
  <c r="K156" i="9"/>
  <c r="F157" i="9"/>
  <c r="G157" i="9"/>
  <c r="J157" i="9" s="1"/>
  <c r="F158" i="9"/>
  <c r="G158" i="9"/>
  <c r="J158" i="9"/>
  <c r="F159" i="9"/>
  <c r="G159" i="9"/>
  <c r="J159" i="9" s="1"/>
  <c r="F160" i="9"/>
  <c r="A160" i="9" s="1"/>
  <c r="G160" i="9"/>
  <c r="J160" i="9" s="1"/>
  <c r="F161" i="9"/>
  <c r="G161" i="9"/>
  <c r="J161" i="9" s="1"/>
  <c r="G162" i="9"/>
  <c r="J162" i="9"/>
  <c r="A163" i="9"/>
  <c r="G163" i="9"/>
  <c r="J163" i="9" s="1"/>
  <c r="K163" i="9" s="1"/>
  <c r="F164" i="9"/>
  <c r="G164" i="9"/>
  <c r="J164" i="9"/>
  <c r="F165" i="9"/>
  <c r="H165" i="9" s="1"/>
  <c r="J165" i="9"/>
  <c r="G166" i="9"/>
  <c r="J166" i="9" s="1"/>
  <c r="G167" i="9"/>
  <c r="J167" i="9" s="1"/>
  <c r="F168" i="9"/>
  <c r="G168" i="9"/>
  <c r="J168" i="9" s="1"/>
  <c r="G169" i="9"/>
  <c r="J169" i="9"/>
  <c r="G170" i="9"/>
  <c r="J170" i="9"/>
  <c r="G171" i="9"/>
  <c r="J171" i="9" s="1"/>
  <c r="F172" i="9"/>
  <c r="F171" i="9" s="1"/>
  <c r="G172" i="9"/>
  <c r="J172" i="9" s="1"/>
  <c r="G173" i="9"/>
  <c r="J173" i="9" s="1"/>
  <c r="G174" i="9"/>
  <c r="J174" i="9" s="1"/>
  <c r="F175" i="9"/>
  <c r="F173" i="9" s="1"/>
  <c r="A173" i="9" s="1"/>
  <c r="G175" i="9"/>
  <c r="J175" i="9"/>
  <c r="F176" i="9"/>
  <c r="G176" i="9"/>
  <c r="J176" i="9" s="1"/>
  <c r="A177" i="9"/>
  <c r="G177" i="9"/>
  <c r="J177" i="9" s="1"/>
  <c r="K177" i="9" s="1"/>
  <c r="J180" i="9"/>
  <c r="J181" i="9"/>
  <c r="J182" i="9"/>
  <c r="J183" i="9"/>
  <c r="J184" i="9"/>
  <c r="J185" i="9"/>
  <c r="F186" i="9"/>
  <c r="A186" i="9" s="1"/>
  <c r="H186" i="9"/>
  <c r="J186" i="9"/>
  <c r="F187" i="9"/>
  <c r="A187" i="9" s="1"/>
  <c r="J187" i="9"/>
  <c r="J188" i="9"/>
  <c r="J189" i="9"/>
  <c r="F190" i="9"/>
  <c r="J190" i="9"/>
  <c r="A191" i="9"/>
  <c r="H191" i="9"/>
  <c r="J191" i="9"/>
  <c r="K191" i="9" s="1"/>
  <c r="J192" i="9"/>
  <c r="H193" i="9"/>
  <c r="J193" i="9"/>
  <c r="K193" i="9" s="1"/>
  <c r="J194" i="9"/>
  <c r="F195" i="9"/>
  <c r="H195" i="9" s="1"/>
  <c r="J195" i="9"/>
  <c r="J196" i="9"/>
  <c r="J197" i="9"/>
  <c r="J198" i="9"/>
  <c r="J199" i="9"/>
  <c r="J200" i="9"/>
  <c r="F201" i="9"/>
  <c r="A201" i="9" s="1"/>
  <c r="J201" i="9"/>
  <c r="J202" i="9"/>
  <c r="J203" i="9"/>
  <c r="A204" i="9"/>
  <c r="H204" i="9"/>
  <c r="J204" i="9"/>
  <c r="K204" i="9" s="1"/>
  <c r="N204" i="9"/>
  <c r="P204" i="9"/>
  <c r="A205" i="9"/>
  <c r="J206" i="9"/>
  <c r="A209" i="9"/>
  <c r="A210" i="9"/>
  <c r="A215" i="9"/>
  <c r="A216" i="9"/>
  <c r="M216" i="9"/>
  <c r="F217" i="9"/>
  <c r="F223" i="9" s="1"/>
  <c r="G217" i="9"/>
  <c r="J217" i="9" s="1"/>
  <c r="F218" i="9"/>
  <c r="G218" i="9"/>
  <c r="J218" i="9"/>
  <c r="F219" i="9"/>
  <c r="A219" i="9" s="1"/>
  <c r="J219" i="9"/>
  <c r="M221" i="9"/>
  <c r="A222" i="9"/>
  <c r="H222" i="9"/>
  <c r="J222" i="9"/>
  <c r="K222" i="9" s="1"/>
  <c r="J223" i="9"/>
  <c r="A224" i="9"/>
  <c r="H224" i="9"/>
  <c r="J224" i="9"/>
  <c r="K224" i="9" s="1"/>
  <c r="J225" i="9"/>
  <c r="A226" i="9"/>
  <c r="A229" i="9"/>
  <c r="A230" i="9"/>
  <c r="A235" i="9"/>
  <c r="G235" i="9"/>
  <c r="H235" i="9" s="1"/>
  <c r="F236" i="9"/>
  <c r="G236" i="9"/>
  <c r="J236" i="9" s="1"/>
  <c r="F237" i="9"/>
  <c r="G237" i="9"/>
  <c r="J237" i="9" s="1"/>
  <c r="H237" i="9"/>
  <c r="F238" i="9"/>
  <c r="A238" i="9" s="1"/>
  <c r="G238" i="9"/>
  <c r="J238" i="9" s="1"/>
  <c r="F239" i="9"/>
  <c r="A239" i="9" s="1"/>
  <c r="G239" i="9"/>
  <c r="J239" i="9" s="1"/>
  <c r="K239" i="9" s="1"/>
  <c r="H239" i="9"/>
  <c r="A240" i="9"/>
  <c r="G240" i="9"/>
  <c r="J240" i="9" s="1"/>
  <c r="K240" i="9" s="1"/>
  <c r="F241" i="9"/>
  <c r="G241" i="9"/>
  <c r="J241" i="9"/>
  <c r="F242" i="9"/>
  <c r="F252" i="9" s="1"/>
  <c r="G242" i="9"/>
  <c r="J242" i="9" s="1"/>
  <c r="F243" i="9"/>
  <c r="G243" i="9"/>
  <c r="J243" i="9" s="1"/>
  <c r="F244" i="9"/>
  <c r="G244" i="9"/>
  <c r="J244" i="9" s="1"/>
  <c r="H244" i="9"/>
  <c r="F245" i="9"/>
  <c r="G245" i="9"/>
  <c r="J245" i="9"/>
  <c r="F246" i="9"/>
  <c r="G246" i="9"/>
  <c r="J246" i="9" s="1"/>
  <c r="F249" i="9"/>
  <c r="H249" i="9" s="1"/>
  <c r="J249" i="9"/>
  <c r="J250" i="9"/>
  <c r="J251" i="9"/>
  <c r="J252" i="9"/>
  <c r="F253" i="9"/>
  <c r="H253" i="9"/>
  <c r="J253" i="9"/>
  <c r="F254" i="9"/>
  <c r="J254" i="9"/>
  <c r="A255" i="9"/>
  <c r="H255" i="9"/>
  <c r="J255" i="9"/>
  <c r="K255" i="9"/>
  <c r="A256" i="9"/>
  <c r="G256" i="9"/>
  <c r="A259" i="9"/>
  <c r="A260" i="9"/>
  <c r="A263" i="9"/>
  <c r="H263" i="9"/>
  <c r="J263" i="9"/>
  <c r="K263" i="9" s="1"/>
  <c r="A264" i="9"/>
  <c r="H264" i="9"/>
  <c r="J264" i="9"/>
  <c r="K264" i="9" s="1"/>
  <c r="A265" i="9"/>
  <c r="H265" i="9"/>
  <c r="J265" i="9"/>
  <c r="K265" i="9" s="1"/>
  <c r="A266" i="9"/>
  <c r="F7" i="10"/>
  <c r="H7" i="10"/>
  <c r="F8" i="10"/>
  <c r="H8" i="10"/>
  <c r="F9" i="10"/>
  <c r="H9" i="10"/>
  <c r="F10" i="10"/>
  <c r="J10" i="10" s="1"/>
  <c r="H10" i="10"/>
  <c r="C13" i="10"/>
  <c r="C16" i="10"/>
  <c r="F16" i="10"/>
  <c r="H16" i="10"/>
  <c r="G17" i="10"/>
  <c r="G35" i="10" s="1"/>
  <c r="G36" i="10" s="1"/>
  <c r="G37" i="10" s="1"/>
  <c r="C19" i="10"/>
  <c r="H19" i="10"/>
  <c r="C20" i="10"/>
  <c r="F20" i="10" s="1"/>
  <c r="C21" i="10"/>
  <c r="H21" i="10" s="1"/>
  <c r="F21" i="10"/>
  <c r="J21" i="10" s="1"/>
  <c r="C22" i="10"/>
  <c r="H22" i="10" s="1"/>
  <c r="C23" i="10"/>
  <c r="F23" i="10" s="1"/>
  <c r="H23" i="10"/>
  <c r="C24" i="10"/>
  <c r="H24" i="10" s="1"/>
  <c r="E24" i="10"/>
  <c r="F24" i="10" s="1"/>
  <c r="C25" i="10"/>
  <c r="H25" i="10" s="1"/>
  <c r="F25" i="10"/>
  <c r="C26" i="10"/>
  <c r="F26" i="10" s="1"/>
  <c r="C27" i="10"/>
  <c r="C15" i="10" s="1"/>
  <c r="H15" i="10" s="1"/>
  <c r="F27" i="10"/>
  <c r="H27" i="10"/>
  <c r="J27" i="10"/>
  <c r="F28" i="10"/>
  <c r="J28" i="10" s="1"/>
  <c r="H28" i="10"/>
  <c r="F29" i="10"/>
  <c r="H29" i="10"/>
  <c r="J29" i="10"/>
  <c r="C30" i="10"/>
  <c r="F30" i="10"/>
  <c r="H30" i="10"/>
  <c r="J30" i="10"/>
  <c r="F31" i="10"/>
  <c r="J31" i="10" s="1"/>
  <c r="H31" i="10"/>
  <c r="F32" i="10"/>
  <c r="J32" i="10" s="1"/>
  <c r="H32" i="10"/>
  <c r="I32" i="10"/>
  <c r="F33" i="10"/>
  <c r="J33" i="10" s="1"/>
  <c r="H33" i="10"/>
  <c r="I33" i="10"/>
  <c r="F34" i="10"/>
  <c r="J34" i="10" s="1"/>
  <c r="H34" i="10"/>
  <c r="C40" i="10"/>
  <c r="H40" i="10" s="1"/>
  <c r="C41" i="10"/>
  <c r="F41" i="10" s="1"/>
  <c r="J41" i="10" s="1"/>
  <c r="F42" i="10"/>
  <c r="J42" i="10" s="1"/>
  <c r="H42" i="10"/>
  <c r="C44" i="10"/>
  <c r="G44" i="10"/>
  <c r="D44" i="10" s="1"/>
  <c r="E44" i="10" s="1"/>
  <c r="C45" i="10"/>
  <c r="F45" i="10" s="1"/>
  <c r="J45" i="10" s="1"/>
  <c r="C46" i="10"/>
  <c r="C47" i="10"/>
  <c r="C48" i="10"/>
  <c r="F48" i="10" s="1"/>
  <c r="D48" i="10"/>
  <c r="E48" i="10"/>
  <c r="C49" i="10"/>
  <c r="F49" i="10" s="1"/>
  <c r="J49" i="10" s="1"/>
  <c r="F50" i="10"/>
  <c r="H50" i="10"/>
  <c r="J50" i="10"/>
  <c r="C51" i="10"/>
  <c r="F51" i="10" s="1"/>
  <c r="J51" i="10" s="1"/>
  <c r="C57" i="10"/>
  <c r="F57" i="10" s="1"/>
  <c r="C59" i="10"/>
  <c r="H59" i="10" s="1"/>
  <c r="C60" i="10"/>
  <c r="F60" i="10" s="1"/>
  <c r="J60" i="10" s="1"/>
  <c r="C61" i="10"/>
  <c r="C64" i="10"/>
  <c r="F64" i="10" s="1"/>
  <c r="J64" i="10" s="1"/>
  <c r="E67" i="10"/>
  <c r="J67" i="10"/>
  <c r="C68" i="10"/>
  <c r="F69" i="10"/>
  <c r="F71" i="10"/>
  <c r="J71" i="10" s="1"/>
  <c r="H71" i="10"/>
  <c r="G73" i="10"/>
  <c r="G74" i="10"/>
  <c r="C80" i="10"/>
  <c r="C83" i="10"/>
  <c r="F83" i="10" s="1"/>
  <c r="E84" i="10"/>
  <c r="C85" i="10"/>
  <c r="H85" i="10" s="1"/>
  <c r="F86" i="10"/>
  <c r="J86" i="10" s="1"/>
  <c r="H86" i="10"/>
  <c r="C88" i="10"/>
  <c r="H88" i="10" s="1"/>
  <c r="C89" i="10"/>
  <c r="F89" i="10" s="1"/>
  <c r="J89" i="10" s="1"/>
  <c r="F90" i="10"/>
  <c r="H90" i="10"/>
  <c r="C93" i="10"/>
  <c r="F93" i="10" s="1"/>
  <c r="J93" i="10" s="1"/>
  <c r="C94" i="10"/>
  <c r="C96" i="10"/>
  <c r="E96" i="10"/>
  <c r="C97" i="10"/>
  <c r="H97" i="10" s="1"/>
  <c r="E97" i="10"/>
  <c r="C98" i="10"/>
  <c r="J99" i="10"/>
  <c r="C100" i="10"/>
  <c r="F100" i="10"/>
  <c r="H100" i="10"/>
  <c r="E101" i="10"/>
  <c r="C102" i="10"/>
  <c r="F102" i="10" s="1"/>
  <c r="J102" i="10" s="1"/>
  <c r="E104" i="10"/>
  <c r="C105" i="10"/>
  <c r="F105" i="10" s="1"/>
  <c r="J105" i="10" s="1"/>
  <c r="C108" i="10"/>
  <c r="E109" i="10"/>
  <c r="E110" i="10"/>
  <c r="F110" i="10" s="1"/>
  <c r="H110" i="10"/>
  <c r="F111" i="10"/>
  <c r="H111" i="10"/>
  <c r="F112" i="10"/>
  <c r="H112" i="10"/>
  <c r="J112" i="10"/>
  <c r="G113" i="10"/>
  <c r="G114" i="10" s="1"/>
  <c r="C118" i="10"/>
  <c r="F118" i="10" s="1"/>
  <c r="C119" i="10"/>
  <c r="H119" i="10" s="1"/>
  <c r="C121" i="10"/>
  <c r="F121" i="10" s="1"/>
  <c r="J121" i="10" s="1"/>
  <c r="F122" i="10"/>
  <c r="C124" i="10"/>
  <c r="E124" i="10"/>
  <c r="J124" i="10"/>
  <c r="C127" i="10"/>
  <c r="H127" i="10" s="1"/>
  <c r="J127" i="10"/>
  <c r="C129" i="10"/>
  <c r="F129" i="10" s="1"/>
  <c r="C130" i="10"/>
  <c r="H130" i="10" s="1"/>
  <c r="C131" i="10"/>
  <c r="C132" i="10"/>
  <c r="F132" i="10" s="1"/>
  <c r="J132" i="10" s="1"/>
  <c r="C133" i="10"/>
  <c r="H133" i="10" s="1"/>
  <c r="E133" i="10"/>
  <c r="F133" i="10" s="1"/>
  <c r="F136" i="10"/>
  <c r="H136" i="10"/>
  <c r="J136" i="10"/>
  <c r="G137" i="10"/>
  <c r="G138" i="10" s="1"/>
  <c r="F142" i="10"/>
  <c r="J142" i="10" s="1"/>
  <c r="H142" i="10"/>
  <c r="I142" i="10"/>
  <c r="C143" i="10"/>
  <c r="F143" i="10" s="1"/>
  <c r="F144" i="10"/>
  <c r="J144" i="10" s="1"/>
  <c r="H144" i="10"/>
  <c r="C145" i="10"/>
  <c r="C146" i="10" s="1"/>
  <c r="F145" i="10"/>
  <c r="H145" i="10"/>
  <c r="F147" i="10"/>
  <c r="I147" i="10" s="1"/>
  <c r="H147" i="10"/>
  <c r="J147" i="10"/>
  <c r="F148" i="10"/>
  <c r="H148" i="10"/>
  <c r="F149" i="10"/>
  <c r="H149" i="10"/>
  <c r="F150" i="10"/>
  <c r="H150" i="10"/>
  <c r="I150" i="10" s="1"/>
  <c r="E155" i="10"/>
  <c r="C156" i="10"/>
  <c r="E156" i="10"/>
  <c r="H156" i="10"/>
  <c r="C157" i="10"/>
  <c r="F157" i="10" s="1"/>
  <c r="C158" i="10"/>
  <c r="F159" i="10"/>
  <c r="H159" i="10"/>
  <c r="J159" i="10"/>
  <c r="F160" i="10"/>
  <c r="H160" i="10"/>
  <c r="C161" i="10"/>
  <c r="C162" i="10" s="1"/>
  <c r="C163" i="10"/>
  <c r="F163" i="10" s="1"/>
  <c r="H163" i="10"/>
  <c r="F164" i="10"/>
  <c r="H164" i="10"/>
  <c r="G165" i="10"/>
  <c r="F173" i="10"/>
  <c r="I173" i="10" s="1"/>
  <c r="H173" i="10"/>
  <c r="E174" i="10"/>
  <c r="F174" i="10" s="1"/>
  <c r="I174" i="10" s="1"/>
  <c r="H174" i="10"/>
  <c r="F175" i="10"/>
  <c r="H175" i="10"/>
  <c r="H176" i="10"/>
  <c r="G68" i="11"/>
  <c r="E95" i="11"/>
  <c r="G129" i="11"/>
  <c r="J129" i="11" s="1"/>
  <c r="G205" i="11"/>
  <c r="G218" i="11"/>
  <c r="G234" i="11"/>
  <c r="I234" i="11"/>
  <c r="E235" i="11"/>
  <c r="G237" i="11"/>
  <c r="I237" i="11"/>
  <c r="G280" i="11"/>
  <c r="I280" i="11"/>
  <c r="C12" i="12"/>
  <c r="E12" i="12" s="1"/>
  <c r="C14" i="12"/>
  <c r="E14" i="12" s="1"/>
  <c r="C15" i="12"/>
  <c r="E15" i="12" s="1"/>
  <c r="C16" i="12"/>
  <c r="E16" i="12" s="1"/>
  <c r="C17" i="12"/>
  <c r="E17" i="12"/>
  <c r="C18" i="12"/>
  <c r="E18" i="12" s="1"/>
  <c r="C19" i="12"/>
  <c r="E19" i="12"/>
  <c r="C20" i="12"/>
  <c r="E20" i="12" s="1"/>
  <c r="C25" i="12"/>
  <c r="E25" i="12" s="1"/>
  <c r="C26" i="12"/>
  <c r="E26" i="12"/>
  <c r="C27" i="12"/>
  <c r="E27" i="12"/>
  <c r="C28" i="12"/>
  <c r="E28" i="12"/>
  <c r="C29" i="12"/>
  <c r="E29" i="12" s="1"/>
  <c r="C30" i="12"/>
  <c r="E30" i="12"/>
  <c r="C31" i="12"/>
  <c r="E31" i="12"/>
  <c r="C32" i="12"/>
  <c r="E32" i="12" s="1"/>
  <c r="C33" i="12"/>
  <c r="E33" i="12" s="1"/>
  <c r="C34" i="12"/>
  <c r="E34" i="12" s="1"/>
  <c r="C39" i="12"/>
  <c r="E39" i="12" s="1"/>
  <c r="C40" i="12"/>
  <c r="E40" i="12"/>
  <c r="C41" i="12"/>
  <c r="E41" i="12" s="1"/>
  <c r="C42" i="12"/>
  <c r="E42" i="12" s="1"/>
  <c r="C43" i="12"/>
  <c r="E43" i="12" s="1"/>
  <c r="C44" i="12"/>
  <c r="E44" i="12" s="1"/>
  <c r="C45" i="12"/>
  <c r="E45" i="12" s="1"/>
  <c r="C46" i="12"/>
  <c r="E46" i="12"/>
  <c r="C47" i="12"/>
  <c r="E47" i="12" s="1"/>
  <c r="C48" i="12"/>
  <c r="E48" i="12" s="1"/>
  <c r="C49" i="12"/>
  <c r="E49" i="12" s="1"/>
  <c r="C50" i="12"/>
  <c r="E50" i="12"/>
  <c r="C51" i="12"/>
  <c r="E51" i="12" s="1"/>
  <c r="C52" i="12"/>
  <c r="E52" i="12"/>
  <c r="C53" i="12"/>
  <c r="E53" i="12" s="1"/>
  <c r="C54" i="12"/>
  <c r="E54" i="12" s="1"/>
  <c r="C55" i="12"/>
  <c r="E55" i="12" s="1"/>
  <c r="C56" i="12"/>
  <c r="E56" i="12"/>
  <c r="C57" i="12"/>
  <c r="E57" i="12" s="1"/>
  <c r="C58" i="12"/>
  <c r="E58" i="12"/>
  <c r="C59" i="12"/>
  <c r="E59" i="12" s="1"/>
  <c r="C60" i="12"/>
  <c r="E60" i="12"/>
  <c r="C61" i="12"/>
  <c r="E61" i="12" s="1"/>
  <c r="C62" i="12"/>
  <c r="E62" i="12"/>
  <c r="C63" i="12"/>
  <c r="E63" i="12" s="1"/>
  <c r="C64" i="12"/>
  <c r="E64" i="12" s="1"/>
  <c r="C65" i="12"/>
  <c r="E65" i="12" s="1"/>
  <c r="C66" i="12"/>
  <c r="E66" i="12"/>
  <c r="C67" i="12"/>
  <c r="E67" i="12" s="1"/>
  <c r="C72" i="12"/>
  <c r="E72" i="12" s="1"/>
  <c r="C73" i="12"/>
  <c r="E73" i="12"/>
  <c r="C74" i="12"/>
  <c r="E74" i="12" s="1"/>
  <c r="C75" i="12"/>
  <c r="E75" i="12"/>
  <c r="C76" i="12"/>
  <c r="E76" i="12" s="1"/>
  <c r="C81" i="12"/>
  <c r="E81" i="12"/>
  <c r="C82" i="12"/>
  <c r="E82" i="12" s="1"/>
  <c r="C83" i="12"/>
  <c r="E83" i="12" s="1"/>
  <c r="C84" i="12"/>
  <c r="E84" i="12" s="1"/>
  <c r="C85" i="12"/>
  <c r="E85" i="12"/>
  <c r="C86" i="12"/>
  <c r="E86" i="12" s="1"/>
  <c r="C87" i="12"/>
  <c r="E87" i="12"/>
  <c r="C88" i="12"/>
  <c r="E88" i="12" s="1"/>
  <c r="C89" i="12"/>
  <c r="E89" i="12" s="1"/>
  <c r="C90" i="12"/>
  <c r="E90" i="12" s="1"/>
  <c r="C91" i="12"/>
  <c r="E91" i="12"/>
  <c r="C92" i="12"/>
  <c r="E92" i="12" s="1"/>
  <c r="B2" i="13"/>
  <c r="E11" i="13"/>
  <c r="E12" i="13"/>
  <c r="E27" i="13"/>
  <c r="E28" i="13"/>
  <c r="E68" i="13"/>
  <c r="E69" i="13"/>
  <c r="E75" i="13"/>
  <c r="E78" i="13"/>
  <c r="E82" i="13"/>
  <c r="E83" i="13"/>
  <c r="E84" i="13" s="1"/>
  <c r="E85" i="13"/>
  <c r="E86" i="13" s="1"/>
  <c r="E87" i="13"/>
  <c r="E88" i="13"/>
  <c r="E89" i="13"/>
  <c r="E91" i="13"/>
  <c r="E93" i="13"/>
  <c r="E94" i="13"/>
  <c r="E95" i="13"/>
  <c r="E96" i="13"/>
  <c r="E97" i="13"/>
  <c r="O98" i="13"/>
  <c r="E98" i="13" s="1"/>
  <c r="E99" i="13"/>
  <c r="G125" i="11" l="1"/>
  <c r="I125" i="11"/>
  <c r="E126" i="11"/>
  <c r="E130" i="11" s="1"/>
  <c r="J94" i="11"/>
  <c r="K244" i="9"/>
  <c r="H14" i="9"/>
  <c r="F22" i="10"/>
  <c r="H163" i="9"/>
  <c r="I120" i="11"/>
  <c r="J77" i="11"/>
  <c r="J97" i="11"/>
  <c r="J117" i="11"/>
  <c r="J92" i="11"/>
  <c r="E96" i="11"/>
  <c r="G95" i="11"/>
  <c r="I95" i="11"/>
  <c r="G79" i="11"/>
  <c r="I79" i="11"/>
  <c r="G101" i="11"/>
  <c r="J101" i="11" s="1"/>
  <c r="J93" i="11"/>
  <c r="J20" i="10"/>
  <c r="I160" i="10"/>
  <c r="K120" i="9"/>
  <c r="F25" i="9"/>
  <c r="A16" i="9"/>
  <c r="C12" i="10"/>
  <c r="K253" i="9"/>
  <c r="H144" i="9"/>
  <c r="I148" i="10"/>
  <c r="H218" i="9"/>
  <c r="I175" i="10"/>
  <c r="F155" i="10"/>
  <c r="I155" i="10" s="1"/>
  <c r="K130" i="9"/>
  <c r="A15" i="9"/>
  <c r="E68" i="12"/>
  <c r="C155" i="10"/>
  <c r="H155" i="10" s="1"/>
  <c r="H143" i="10"/>
  <c r="H44" i="10"/>
  <c r="H26" i="10"/>
  <c r="I26" i="10" s="1"/>
  <c r="H149" i="9"/>
  <c r="K14" i="9"/>
  <c r="I145" i="10"/>
  <c r="A249" i="9"/>
  <c r="A14" i="9"/>
  <c r="F156" i="10"/>
  <c r="A244" i="9"/>
  <c r="K147" i="9"/>
  <c r="I159" i="10"/>
  <c r="I111" i="10"/>
  <c r="H157" i="10"/>
  <c r="I157" i="10" s="1"/>
  <c r="I31" i="10"/>
  <c r="H20" i="10"/>
  <c r="I20" i="10" s="1"/>
  <c r="J235" i="9"/>
  <c r="K235" i="9" s="1"/>
  <c r="K168" i="9"/>
  <c r="J155" i="9"/>
  <c r="K155" i="9" s="1"/>
  <c r="K88" i="9"/>
  <c r="J55" i="9"/>
  <c r="K55" i="9" s="1"/>
  <c r="I149" i="10"/>
  <c r="K111" i="9"/>
  <c r="E77" i="12"/>
  <c r="C13" i="12"/>
  <c r="E13" i="12" s="1"/>
  <c r="I112" i="10"/>
  <c r="I164" i="10"/>
  <c r="K110" i="9"/>
  <c r="C11" i="12"/>
  <c r="E11" i="12" s="1"/>
  <c r="E21" i="12" s="1"/>
  <c r="K124" i="9"/>
  <c r="H93" i="10"/>
  <c r="K176" i="9"/>
  <c r="K105" i="9"/>
  <c r="E121" i="11"/>
  <c r="I121" i="11" s="1"/>
  <c r="G120" i="11"/>
  <c r="E122" i="11"/>
  <c r="G119" i="11"/>
  <c r="J119" i="11" s="1"/>
  <c r="E80" i="11"/>
  <c r="E82" i="11"/>
  <c r="E81" i="11"/>
  <c r="H60" i="10"/>
  <c r="H57" i="10"/>
  <c r="H121" i="10"/>
  <c r="I121" i="10" s="1"/>
  <c r="A115" i="9"/>
  <c r="H49" i="10"/>
  <c r="H187" i="9"/>
  <c r="J111" i="10"/>
  <c r="K93" i="9"/>
  <c r="C103" i="10"/>
  <c r="F103" i="10" s="1"/>
  <c r="J103" i="10" s="1"/>
  <c r="F200" i="9"/>
  <c r="H200" i="9" s="1"/>
  <c r="A120" i="9"/>
  <c r="F88" i="10"/>
  <c r="I88" i="10" s="1"/>
  <c r="H111" i="9"/>
  <c r="H88" i="9"/>
  <c r="A93" i="9"/>
  <c r="A53" i="9"/>
  <c r="K186" i="9"/>
  <c r="K115" i="9"/>
  <c r="I93" i="10"/>
  <c r="H110" i="9"/>
  <c r="H94" i="9"/>
  <c r="H118" i="10"/>
  <c r="I118" i="10" s="1"/>
  <c r="F40" i="10"/>
  <c r="J40" i="10" s="1"/>
  <c r="I90" i="10"/>
  <c r="C58" i="10"/>
  <c r="H145" i="9"/>
  <c r="F83" i="9"/>
  <c r="K83" i="9" s="1"/>
  <c r="A110" i="9"/>
  <c r="H89" i="10"/>
  <c r="I89" i="10" s="1"/>
  <c r="F225" i="9"/>
  <c r="K225" i="9" s="1"/>
  <c r="H176" i="9"/>
  <c r="F82" i="9"/>
  <c r="K63" i="9"/>
  <c r="H41" i="10"/>
  <c r="I41" i="10" s="1"/>
  <c r="O204" i="9"/>
  <c r="M204" i="9"/>
  <c r="N206" i="9" s="1"/>
  <c r="A176" i="9"/>
  <c r="A12" i="9"/>
  <c r="A63" i="9"/>
  <c r="F59" i="10"/>
  <c r="J59" i="10" s="1"/>
  <c r="F85" i="10"/>
  <c r="J85" i="10" s="1"/>
  <c r="F174" i="9"/>
  <c r="H174" i="9" s="1"/>
  <c r="A168" i="9"/>
  <c r="K173" i="9"/>
  <c r="H160" i="9"/>
  <c r="F130" i="10"/>
  <c r="I130" i="10" s="1"/>
  <c r="K175" i="9"/>
  <c r="H175" i="9"/>
  <c r="H172" i="9"/>
  <c r="H129" i="10"/>
  <c r="I129" i="10" s="1"/>
  <c r="C123" i="10"/>
  <c r="H123" i="10" s="1"/>
  <c r="J90" i="10"/>
  <c r="H83" i="10"/>
  <c r="I83" i="10" s="1"/>
  <c r="H168" i="9"/>
  <c r="H12" i="9"/>
  <c r="I86" i="10"/>
  <c r="F128" i="9"/>
  <c r="H128" i="9" s="1"/>
  <c r="K171" i="9"/>
  <c r="H171" i="9"/>
  <c r="A171" i="9"/>
  <c r="K192" i="9"/>
  <c r="H192" i="9"/>
  <c r="F169" i="9"/>
  <c r="H169" i="9" s="1"/>
  <c r="C87" i="10"/>
  <c r="F183" i="9"/>
  <c r="H219" i="9"/>
  <c r="P206" i="9"/>
  <c r="A200" i="9"/>
  <c r="K172" i="9"/>
  <c r="K165" i="9"/>
  <c r="K157" i="9"/>
  <c r="K145" i="9"/>
  <c r="F64" i="9"/>
  <c r="H64" i="9" s="1"/>
  <c r="K53" i="9"/>
  <c r="F19" i="9"/>
  <c r="K19" i="9" s="1"/>
  <c r="A90" i="9"/>
  <c r="H103" i="10"/>
  <c r="I103" i="10" s="1"/>
  <c r="K245" i="9"/>
  <c r="A172" i="9"/>
  <c r="F170" i="9"/>
  <c r="K170" i="9" s="1"/>
  <c r="H66" i="9"/>
  <c r="F180" i="9"/>
  <c r="H180" i="9" s="1"/>
  <c r="C120" i="10"/>
  <c r="F120" i="10" s="1"/>
  <c r="J120" i="10" s="1"/>
  <c r="C54" i="10"/>
  <c r="H48" i="10"/>
  <c r="I48" i="10" s="1"/>
  <c r="K160" i="9"/>
  <c r="H90" i="9"/>
  <c r="F65" i="9"/>
  <c r="H65" i="9" s="1"/>
  <c r="H57" i="9"/>
  <c r="J234" i="11"/>
  <c r="I235" i="11"/>
  <c r="J237" i="11"/>
  <c r="G235" i="11"/>
  <c r="I230" i="11"/>
  <c r="J218" i="11"/>
  <c r="G115" i="11"/>
  <c r="I68" i="11"/>
  <c r="J68" i="11" s="1"/>
  <c r="I233" i="11"/>
  <c r="J233" i="11" s="1"/>
  <c r="J280" i="11"/>
  <c r="I232" i="11"/>
  <c r="G232" i="11"/>
  <c r="E231" i="11"/>
  <c r="G231" i="11" s="1"/>
  <c r="E35" i="12"/>
  <c r="E93" i="12"/>
  <c r="I110" i="10"/>
  <c r="J110" i="10"/>
  <c r="F96" i="10"/>
  <c r="H96" i="10"/>
  <c r="I25" i="10"/>
  <c r="J25" i="10"/>
  <c r="H13" i="10"/>
  <c r="F13" i="10"/>
  <c r="J13" i="10" s="1"/>
  <c r="H225" i="9"/>
  <c r="A131" i="9"/>
  <c r="H131" i="9"/>
  <c r="K131" i="9"/>
  <c r="I156" i="10"/>
  <c r="J156" i="10"/>
  <c r="I133" i="10"/>
  <c r="J133" i="10"/>
  <c r="H124" i="10"/>
  <c r="C135" i="10"/>
  <c r="F135" i="10" s="1"/>
  <c r="J135" i="10" s="1"/>
  <c r="I100" i="10"/>
  <c r="J100" i="10"/>
  <c r="F94" i="10"/>
  <c r="H94" i="10"/>
  <c r="I60" i="10"/>
  <c r="J205" i="11"/>
  <c r="I163" i="10"/>
  <c r="J163" i="10"/>
  <c r="I144" i="10"/>
  <c r="J129" i="10"/>
  <c r="F68" i="10"/>
  <c r="J68" i="10" s="1"/>
  <c r="H68" i="10"/>
  <c r="J48" i="10"/>
  <c r="I24" i="10"/>
  <c r="J24" i="10"/>
  <c r="F154" i="9"/>
  <c r="M193" i="9"/>
  <c r="C78" i="10"/>
  <c r="C99" i="10"/>
  <c r="H99" i="10" s="1"/>
  <c r="G230" i="11"/>
  <c r="F158" i="10"/>
  <c r="H158" i="10"/>
  <c r="F108" i="10"/>
  <c r="H108" i="10"/>
  <c r="J57" i="10"/>
  <c r="I57" i="10"/>
  <c r="F47" i="10"/>
  <c r="H47" i="10"/>
  <c r="F98" i="10"/>
  <c r="H98" i="10"/>
  <c r="F84" i="10"/>
  <c r="H84" i="10"/>
  <c r="C128" i="10"/>
  <c r="F162" i="10"/>
  <c r="H162" i="10"/>
  <c r="I143" i="10"/>
  <c r="J143" i="10"/>
  <c r="H131" i="10"/>
  <c r="F131" i="10"/>
  <c r="I127" i="10"/>
  <c r="H241" i="9"/>
  <c r="K241" i="9"/>
  <c r="A241" i="9"/>
  <c r="F251" i="9"/>
  <c r="K164" i="9"/>
  <c r="F167" i="9"/>
  <c r="A164" i="9"/>
  <c r="F166" i="9"/>
  <c r="H164" i="9"/>
  <c r="F146" i="10"/>
  <c r="H146" i="10"/>
  <c r="J83" i="10"/>
  <c r="J9" i="10"/>
  <c r="I9" i="10"/>
  <c r="K223" i="9"/>
  <c r="H223" i="9"/>
  <c r="A223" i="9"/>
  <c r="A220" i="9" s="1"/>
  <c r="F176" i="10"/>
  <c r="I176" i="10" s="1"/>
  <c r="J164" i="10"/>
  <c r="H161" i="10"/>
  <c r="J157" i="10"/>
  <c r="J145" i="10"/>
  <c r="H105" i="10"/>
  <c r="I105" i="10" s="1"/>
  <c r="F97" i="10"/>
  <c r="J97" i="10" s="1"/>
  <c r="F44" i="10"/>
  <c r="J44" i="10" s="1"/>
  <c r="H183" i="9"/>
  <c r="K183" i="9"/>
  <c r="H159" i="9"/>
  <c r="K159" i="9"/>
  <c r="A104" i="9"/>
  <c r="H104" i="9"/>
  <c r="K104" i="9"/>
  <c r="K67" i="9"/>
  <c r="H67" i="9"/>
  <c r="K64" i="9"/>
  <c r="A64" i="9"/>
  <c r="H60" i="9"/>
  <c r="K60" i="9"/>
  <c r="F161" i="10"/>
  <c r="I136" i="10"/>
  <c r="H132" i="10"/>
  <c r="I132" i="10" s="1"/>
  <c r="F119" i="10"/>
  <c r="F107" i="10"/>
  <c r="H64" i="10"/>
  <c r="F46" i="10"/>
  <c r="H46" i="10"/>
  <c r="I16" i="10"/>
  <c r="J16" i="10"/>
  <c r="H245" i="9"/>
  <c r="A245" i="9"/>
  <c r="H243" i="9"/>
  <c r="K243" i="9"/>
  <c r="A243" i="9"/>
  <c r="A236" i="9"/>
  <c r="H236" i="9"/>
  <c r="F250" i="9"/>
  <c r="K236" i="9"/>
  <c r="N216" i="9"/>
  <c r="G215" i="9" s="1"/>
  <c r="O216" i="9"/>
  <c r="G216" i="9" s="1"/>
  <c r="A183" i="9"/>
  <c r="H177" i="9"/>
  <c r="K174" i="9"/>
  <c r="A174" i="9"/>
  <c r="A159" i="9"/>
  <c r="A67" i="9"/>
  <c r="A60" i="9"/>
  <c r="H17" i="9"/>
  <c r="J17" i="9"/>
  <c r="K17" i="9" s="1"/>
  <c r="J26" i="10"/>
  <c r="K249" i="9"/>
  <c r="H238" i="9"/>
  <c r="K238" i="9"/>
  <c r="J153" i="9"/>
  <c r="K153" i="9" s="1"/>
  <c r="H153" i="9"/>
  <c r="H150" i="9"/>
  <c r="K150" i="9"/>
  <c r="H103" i="9"/>
  <c r="K103" i="9"/>
  <c r="H70" i="9"/>
  <c r="J70" i="9"/>
  <c r="K70" i="9" s="1"/>
  <c r="J160" i="10"/>
  <c r="J118" i="10"/>
  <c r="H45" i="10"/>
  <c r="A252" i="9"/>
  <c r="H252" i="9"/>
  <c r="K252" i="9"/>
  <c r="H102" i="10"/>
  <c r="F80" i="10"/>
  <c r="H80" i="10"/>
  <c r="I21" i="10"/>
  <c r="F19" i="10"/>
  <c r="C11" i="10"/>
  <c r="F15" i="10"/>
  <c r="J15" i="10" s="1"/>
  <c r="A257" i="9"/>
  <c r="K242" i="9"/>
  <c r="A242" i="9"/>
  <c r="H242" i="9"/>
  <c r="R222" i="9"/>
  <c r="N222" i="9"/>
  <c r="P222" i="9"/>
  <c r="T222" i="9"/>
  <c r="A195" i="9"/>
  <c r="K195" i="9"/>
  <c r="F162" i="9"/>
  <c r="K187" i="9"/>
  <c r="J152" i="9"/>
  <c r="K152" i="9" s="1"/>
  <c r="H152" i="9"/>
  <c r="H83" i="9"/>
  <c r="A83" i="9"/>
  <c r="F61" i="10"/>
  <c r="H61" i="10"/>
  <c r="H51" i="10"/>
  <c r="I51" i="10" s="1"/>
  <c r="K246" i="9"/>
  <c r="A246" i="9"/>
  <c r="H246" i="9"/>
  <c r="A190" i="9"/>
  <c r="H190" i="9"/>
  <c r="K190" i="9"/>
  <c r="A147" i="9"/>
  <c r="H147" i="9"/>
  <c r="K85" i="9"/>
  <c r="A85" i="9"/>
  <c r="A76" i="9"/>
  <c r="H76" i="9"/>
  <c r="K76" i="9"/>
  <c r="A27" i="9"/>
  <c r="H27" i="9"/>
  <c r="K27" i="9"/>
  <c r="I30" i="10"/>
  <c r="I23" i="10"/>
  <c r="J23" i="10"/>
  <c r="K254" i="9"/>
  <c r="H254" i="9"/>
  <c r="A254" i="9"/>
  <c r="K218" i="9"/>
  <c r="A218" i="9"/>
  <c r="K149" i="9"/>
  <c r="A149" i="9"/>
  <c r="H146" i="9"/>
  <c r="J146" i="9"/>
  <c r="K146" i="9" s="1"/>
  <c r="H121" i="9"/>
  <c r="K121" i="9"/>
  <c r="A121" i="9"/>
  <c r="K100" i="9"/>
  <c r="H100" i="9"/>
  <c r="H69" i="9"/>
  <c r="K69" i="9"/>
  <c r="A69" i="9"/>
  <c r="F74" i="9"/>
  <c r="H54" i="9"/>
  <c r="K54" i="9"/>
  <c r="H26" i="9"/>
  <c r="K26" i="9"/>
  <c r="J256" i="9"/>
  <c r="K256" i="9" s="1"/>
  <c r="H256" i="9"/>
  <c r="A217" i="9"/>
  <c r="A207" i="9" s="1"/>
  <c r="H217" i="9"/>
  <c r="K217" i="9"/>
  <c r="G226" i="9"/>
  <c r="K158" i="9"/>
  <c r="H158" i="9"/>
  <c r="H130" i="9"/>
  <c r="A130" i="9"/>
  <c r="A54" i="9"/>
  <c r="A36" i="9"/>
  <c r="H36" i="9"/>
  <c r="K36" i="9"/>
  <c r="A26" i="9"/>
  <c r="A7" i="9"/>
  <c r="A4" i="9" s="1"/>
  <c r="F31" i="9"/>
  <c r="F33" i="9"/>
  <c r="F18" i="9"/>
  <c r="F133" i="9"/>
  <c r="F35" i="9"/>
  <c r="A158" i="9"/>
  <c r="K144" i="9"/>
  <c r="I27" i="10"/>
  <c r="C14" i="10"/>
  <c r="H201" i="9"/>
  <c r="K201" i="9"/>
  <c r="H173" i="9"/>
  <c r="F202" i="9"/>
  <c r="A161" i="9"/>
  <c r="H161" i="9"/>
  <c r="K161" i="9"/>
  <c r="H148" i="9"/>
  <c r="K148" i="9"/>
  <c r="H97" i="9"/>
  <c r="K97" i="9"/>
  <c r="H87" i="9"/>
  <c r="K87" i="9"/>
  <c r="A87" i="9"/>
  <c r="H15" i="9"/>
  <c r="J15" i="9"/>
  <c r="K15" i="9" s="1"/>
  <c r="A124" i="9"/>
  <c r="H124" i="9"/>
  <c r="A105" i="9"/>
  <c r="H105" i="9"/>
  <c r="A99" i="9"/>
  <c r="H99" i="9"/>
  <c r="A28" i="9"/>
  <c r="H28" i="9"/>
  <c r="H22" i="9"/>
  <c r="J22" i="9"/>
  <c r="K22" i="9" s="1"/>
  <c r="H240" i="9"/>
  <c r="A157" i="9"/>
  <c r="H157" i="9"/>
  <c r="H84" i="9"/>
  <c r="K84" i="9"/>
  <c r="K81" i="9"/>
  <c r="K237" i="9"/>
  <c r="A81" i="9"/>
  <c r="H40" i="9"/>
  <c r="K40" i="9"/>
  <c r="A237" i="9"/>
  <c r="A227" i="9" s="1"/>
  <c r="K219" i="9"/>
  <c r="A175" i="9"/>
  <c r="A84" i="9"/>
  <c r="A40" i="9"/>
  <c r="A39" i="9" s="1"/>
  <c r="H16" i="9"/>
  <c r="K16" i="9"/>
  <c r="F86" i="9"/>
  <c r="H120" i="9"/>
  <c r="F117" i="9"/>
  <c r="F107" i="9"/>
  <c r="F77" i="9"/>
  <c r="F78" i="9"/>
  <c r="G126" i="11" l="1"/>
  <c r="I126" i="11"/>
  <c r="J125" i="11"/>
  <c r="I130" i="11"/>
  <c r="G130" i="11"/>
  <c r="J79" i="11"/>
  <c r="J120" i="11"/>
  <c r="E95" i="12"/>
  <c r="J22" i="10"/>
  <c r="I22" i="10"/>
  <c r="G80" i="11"/>
  <c r="I80" i="11"/>
  <c r="G96" i="11"/>
  <c r="I96" i="11"/>
  <c r="I122" i="11"/>
  <c r="E123" i="11"/>
  <c r="I123" i="11" s="1"/>
  <c r="J123" i="11" s="1"/>
  <c r="G81" i="11"/>
  <c r="I81" i="11"/>
  <c r="G82" i="11"/>
  <c r="I82" i="11"/>
  <c r="J95" i="11"/>
  <c r="E127" i="11"/>
  <c r="J88" i="10"/>
  <c r="F123" i="10"/>
  <c r="J155" i="10"/>
  <c r="H25" i="9"/>
  <c r="K25" i="9"/>
  <c r="A25" i="9"/>
  <c r="F12" i="10"/>
  <c r="J12" i="10" s="1"/>
  <c r="H12" i="10"/>
  <c r="J238" i="11"/>
  <c r="G121" i="11"/>
  <c r="J121" i="11" s="1"/>
  <c r="G122" i="11"/>
  <c r="E85" i="11"/>
  <c r="E84" i="11"/>
  <c r="H247" i="9"/>
  <c r="A225" i="9"/>
  <c r="H125" i="10"/>
  <c r="A19" i="9"/>
  <c r="H19" i="9"/>
  <c r="F30" i="9"/>
  <c r="A30" i="9" s="1"/>
  <c r="F194" i="9"/>
  <c r="K200" i="9"/>
  <c r="H120" i="10"/>
  <c r="I120" i="10" s="1"/>
  <c r="G200" i="11"/>
  <c r="J200" i="11" s="1"/>
  <c r="K247" i="9"/>
  <c r="K65" i="9"/>
  <c r="I40" i="10"/>
  <c r="F203" i="9"/>
  <c r="K180" i="9"/>
  <c r="J130" i="10"/>
  <c r="I85" i="10"/>
  <c r="H58" i="10"/>
  <c r="F58" i="10"/>
  <c r="J58" i="10" s="1"/>
  <c r="K82" i="9"/>
  <c r="A82" i="9"/>
  <c r="H82" i="9"/>
  <c r="C134" i="10"/>
  <c r="F134" i="10" s="1"/>
  <c r="A65" i="9"/>
  <c r="C152" i="10"/>
  <c r="H152" i="10" s="1"/>
  <c r="H170" i="9"/>
  <c r="A170" i="9"/>
  <c r="A128" i="9"/>
  <c r="C151" i="10"/>
  <c r="F151" i="10" s="1"/>
  <c r="K128" i="9"/>
  <c r="F54" i="10"/>
  <c r="H54" i="10"/>
  <c r="F87" i="10"/>
  <c r="J87" i="10" s="1"/>
  <c r="H87" i="10"/>
  <c r="I87" i="10" s="1"/>
  <c r="C101" i="10"/>
  <c r="A169" i="9"/>
  <c r="K169" i="9"/>
  <c r="J235" i="11"/>
  <c r="J232" i="11"/>
  <c r="J115" i="11"/>
  <c r="I231" i="11"/>
  <c r="J231" i="11" s="1"/>
  <c r="F129" i="9"/>
  <c r="F56" i="9"/>
  <c r="J216" i="9"/>
  <c r="K216" i="9" s="1"/>
  <c r="H216" i="9"/>
  <c r="C82" i="10"/>
  <c r="F78" i="10"/>
  <c r="H78" i="10"/>
  <c r="C79" i="10"/>
  <c r="C81" i="10"/>
  <c r="F113" i="9"/>
  <c r="A18" i="9"/>
  <c r="H18" i="9"/>
  <c r="K18" i="9"/>
  <c r="F29" i="9"/>
  <c r="H215" i="9"/>
  <c r="H220" i="9" s="1"/>
  <c r="J215" i="9"/>
  <c r="K215" i="9" s="1"/>
  <c r="I107" i="10"/>
  <c r="J107" i="10"/>
  <c r="I84" i="10"/>
  <c r="J84" i="10"/>
  <c r="G196" i="11"/>
  <c r="F75" i="9"/>
  <c r="F126" i="9"/>
  <c r="A194" i="9"/>
  <c r="H194" i="9"/>
  <c r="K194" i="9"/>
  <c r="H33" i="9"/>
  <c r="A33" i="9"/>
  <c r="K33" i="9"/>
  <c r="I61" i="10"/>
  <c r="J61" i="10"/>
  <c r="H11" i="10"/>
  <c r="F11" i="10"/>
  <c r="H259" i="9"/>
  <c r="K259" i="9" s="1"/>
  <c r="F125" i="10"/>
  <c r="I119" i="10"/>
  <c r="J119" i="10"/>
  <c r="A167" i="9"/>
  <c r="K167" i="9"/>
  <c r="H167" i="9"/>
  <c r="I162" i="10"/>
  <c r="J162" i="10"/>
  <c r="J271" i="11"/>
  <c r="J230" i="11"/>
  <c r="I123" i="10"/>
  <c r="J123" i="10"/>
  <c r="F80" i="9"/>
  <c r="F198" i="9"/>
  <c r="K31" i="9"/>
  <c r="F32" i="9"/>
  <c r="H31" i="9"/>
  <c r="A31" i="9"/>
  <c r="H74" i="9"/>
  <c r="A74" i="9"/>
  <c r="K74" i="9"/>
  <c r="J19" i="10"/>
  <c r="I19" i="10"/>
  <c r="H250" i="9"/>
  <c r="K250" i="9"/>
  <c r="A250" i="9"/>
  <c r="A247" i="9" s="1"/>
  <c r="I98" i="10"/>
  <c r="J98" i="10"/>
  <c r="I108" i="10"/>
  <c r="J108" i="10"/>
  <c r="C104" i="10"/>
  <c r="F14" i="10"/>
  <c r="J14" i="10" s="1"/>
  <c r="H14" i="10"/>
  <c r="H133" i="9"/>
  <c r="F71" i="9"/>
  <c r="A133" i="9"/>
  <c r="K133" i="9"/>
  <c r="K166" i="9"/>
  <c r="A166" i="9"/>
  <c r="H166" i="9"/>
  <c r="A202" i="9"/>
  <c r="H202" i="9"/>
  <c r="K202" i="9"/>
  <c r="C63" i="10"/>
  <c r="H134" i="10"/>
  <c r="I146" i="10"/>
  <c r="J146" i="10"/>
  <c r="H251" i="9"/>
  <c r="A251" i="9"/>
  <c r="K251" i="9"/>
  <c r="H260" i="9" s="1"/>
  <c r="K260" i="9" s="1"/>
  <c r="I131" i="10"/>
  <c r="J131" i="10"/>
  <c r="M192" i="9"/>
  <c r="R193" i="9"/>
  <c r="R192" i="9" s="1"/>
  <c r="T193" i="9"/>
  <c r="T192" i="9" s="1"/>
  <c r="Q193" i="9"/>
  <c r="Q192" i="9" s="1"/>
  <c r="S193" i="9"/>
  <c r="S192" i="9" s="1"/>
  <c r="N193" i="9"/>
  <c r="N192" i="9" s="1"/>
  <c r="O193" i="9"/>
  <c r="O192" i="9" s="1"/>
  <c r="P193" i="9"/>
  <c r="P192" i="9" s="1"/>
  <c r="I94" i="10"/>
  <c r="J94" i="10"/>
  <c r="A77" i="9"/>
  <c r="H77" i="9"/>
  <c r="K77" i="9"/>
  <c r="F79" i="9"/>
  <c r="H107" i="9"/>
  <c r="K107" i="9"/>
  <c r="A107" i="9"/>
  <c r="F197" i="9"/>
  <c r="C65" i="10"/>
  <c r="K162" i="9"/>
  <c r="A162" i="9"/>
  <c r="H162" i="9"/>
  <c r="K257" i="9"/>
  <c r="J161" i="10"/>
  <c r="I161" i="10"/>
  <c r="K154" i="9"/>
  <c r="H209" i="9" s="1"/>
  <c r="K209" i="9" s="1"/>
  <c r="G205" i="9"/>
  <c r="A154" i="9"/>
  <c r="H154" i="9"/>
  <c r="H178" i="9" s="1"/>
  <c r="E194" i="11"/>
  <c r="G188" i="11"/>
  <c r="H78" i="9"/>
  <c r="K78" i="9"/>
  <c r="A78" i="9"/>
  <c r="F185" i="9"/>
  <c r="F182" i="9"/>
  <c r="F196" i="9"/>
  <c r="J226" i="9"/>
  <c r="K226" i="9" s="1"/>
  <c r="K227" i="9" s="1"/>
  <c r="H226" i="9"/>
  <c r="H227" i="9" s="1"/>
  <c r="I46" i="10"/>
  <c r="J46" i="10"/>
  <c r="F127" i="9"/>
  <c r="I158" i="10"/>
  <c r="J158" i="10"/>
  <c r="E199" i="11"/>
  <c r="I199" i="11" s="1"/>
  <c r="F188" i="9"/>
  <c r="K117" i="9"/>
  <c r="A117" i="9"/>
  <c r="H117" i="9"/>
  <c r="H86" i="9"/>
  <c r="A86" i="9"/>
  <c r="K86" i="9"/>
  <c r="F21" i="9"/>
  <c r="A35" i="9"/>
  <c r="K35" i="9"/>
  <c r="H35" i="9"/>
  <c r="I80" i="10"/>
  <c r="J80" i="10"/>
  <c r="F128" i="10"/>
  <c r="H128" i="10"/>
  <c r="J47" i="10"/>
  <c r="I47" i="10"/>
  <c r="I96" i="10"/>
  <c r="J96" i="10"/>
  <c r="I194" i="11" l="1"/>
  <c r="E292" i="11"/>
  <c r="J126" i="11"/>
  <c r="J80" i="11"/>
  <c r="J130" i="11"/>
  <c r="J122" i="11"/>
  <c r="J82" i="11"/>
  <c r="J96" i="11"/>
  <c r="I85" i="11"/>
  <c r="G85" i="11"/>
  <c r="I127" i="11"/>
  <c r="G127" i="11"/>
  <c r="E128" i="11"/>
  <c r="I84" i="11"/>
  <c r="G84" i="11"/>
  <c r="J81" i="11"/>
  <c r="H257" i="9"/>
  <c r="J272" i="11"/>
  <c r="J239" i="11"/>
  <c r="J240" i="11" s="1"/>
  <c r="E201" i="11"/>
  <c r="I201" i="11" s="1"/>
  <c r="E203" i="11"/>
  <c r="I203" i="11" s="1"/>
  <c r="E86" i="11"/>
  <c r="H151" i="10"/>
  <c r="I151" i="10" s="1"/>
  <c r="K30" i="9"/>
  <c r="H30" i="9"/>
  <c r="H203" i="9"/>
  <c r="K203" i="9"/>
  <c r="A203" i="9"/>
  <c r="I58" i="10"/>
  <c r="F152" i="10"/>
  <c r="I152" i="10" s="1"/>
  <c r="F101" i="10"/>
  <c r="J101" i="10" s="1"/>
  <c r="H101" i="10"/>
  <c r="I101" i="10" s="1"/>
  <c r="J54" i="10"/>
  <c r="I54" i="10"/>
  <c r="J196" i="11"/>
  <c r="C70" i="10"/>
  <c r="C109" i="10"/>
  <c r="G194" i="11"/>
  <c r="H153" i="10"/>
  <c r="K198" i="9"/>
  <c r="A198" i="9"/>
  <c r="F199" i="9"/>
  <c r="H198" i="9"/>
  <c r="F137" i="10"/>
  <c r="I125" i="10"/>
  <c r="J125" i="10"/>
  <c r="H75" i="9"/>
  <c r="K75" i="9"/>
  <c r="A75" i="9"/>
  <c r="A113" i="9"/>
  <c r="H113" i="9"/>
  <c r="K113" i="9"/>
  <c r="H188" i="9"/>
  <c r="K188" i="9"/>
  <c r="A188" i="9"/>
  <c r="K178" i="9"/>
  <c r="K197" i="9"/>
  <c r="A197" i="9"/>
  <c r="H197" i="9"/>
  <c r="J151" i="10"/>
  <c r="F153" i="10"/>
  <c r="H261" i="9"/>
  <c r="F102" i="9"/>
  <c r="K126" i="9"/>
  <c r="A126" i="9"/>
  <c r="H126" i="9"/>
  <c r="H56" i="9"/>
  <c r="F134" i="9"/>
  <c r="K56" i="9"/>
  <c r="A56" i="9"/>
  <c r="K127" i="9"/>
  <c r="H127" i="9"/>
  <c r="A127" i="9"/>
  <c r="A71" i="9"/>
  <c r="H71" i="9"/>
  <c r="K71" i="9"/>
  <c r="H29" i="9"/>
  <c r="K29" i="9"/>
  <c r="A29" i="9"/>
  <c r="F81" i="10"/>
  <c r="H81" i="10"/>
  <c r="K261" i="9"/>
  <c r="A79" i="9"/>
  <c r="H79" i="9"/>
  <c r="K79" i="9"/>
  <c r="C56" i="10"/>
  <c r="K32" i="9"/>
  <c r="A32" i="9"/>
  <c r="H32" i="9"/>
  <c r="J11" i="10"/>
  <c r="F17" i="10"/>
  <c r="F79" i="10"/>
  <c r="H79" i="10"/>
  <c r="C55" i="10"/>
  <c r="K129" i="9"/>
  <c r="H129" i="9"/>
  <c r="A185" i="9"/>
  <c r="H185" i="9"/>
  <c r="K185" i="9"/>
  <c r="F189" i="9"/>
  <c r="K220" i="9"/>
  <c r="H229" i="9"/>
  <c r="K229" i="9" s="1"/>
  <c r="F65" i="10"/>
  <c r="J65" i="10" s="1"/>
  <c r="H65" i="10"/>
  <c r="G197" i="11"/>
  <c r="A21" i="9"/>
  <c r="K21" i="9"/>
  <c r="H21" i="9"/>
  <c r="F104" i="10"/>
  <c r="H104" i="10"/>
  <c r="H230" i="9"/>
  <c r="K230" i="9" s="1"/>
  <c r="F20" i="9"/>
  <c r="J206" i="11"/>
  <c r="H17" i="10"/>
  <c r="K182" i="9"/>
  <c r="H182" i="9"/>
  <c r="F125" i="9"/>
  <c r="J188" i="11"/>
  <c r="F137" i="9"/>
  <c r="F63" i="10"/>
  <c r="J63" i="10" s="1"/>
  <c r="H63" i="10"/>
  <c r="C66" i="10"/>
  <c r="F34" i="9"/>
  <c r="K80" i="9"/>
  <c r="A80" i="9"/>
  <c r="H80" i="9"/>
  <c r="I78" i="10"/>
  <c r="J78" i="10"/>
  <c r="F116" i="9"/>
  <c r="I128" i="10"/>
  <c r="J128" i="10"/>
  <c r="F138" i="10"/>
  <c r="G199" i="11"/>
  <c r="A196" i="9"/>
  <c r="K196" i="9"/>
  <c r="H196" i="9"/>
  <c r="J205" i="9"/>
  <c r="K205" i="9" s="1"/>
  <c r="H205" i="9"/>
  <c r="I134" i="10"/>
  <c r="J134" i="10"/>
  <c r="F181" i="9"/>
  <c r="F82" i="10"/>
  <c r="J82" i="10" s="1"/>
  <c r="H82" i="10"/>
  <c r="H91" i="10" s="1"/>
  <c r="H137" i="10"/>
  <c r="H138" i="10" s="1"/>
  <c r="H139" i="10" s="1"/>
  <c r="E293" i="11" l="1"/>
  <c r="I292" i="11"/>
  <c r="G292" i="11"/>
  <c r="E294" i="11"/>
  <c r="J127" i="11"/>
  <c r="J84" i="11"/>
  <c r="I128" i="11"/>
  <c r="J136" i="11" s="1"/>
  <c r="G128" i="11"/>
  <c r="G86" i="11"/>
  <c r="I86" i="11"/>
  <c r="J85" i="11"/>
  <c r="E202" i="11"/>
  <c r="J152" i="10"/>
  <c r="G201" i="11"/>
  <c r="J201" i="11" s="1"/>
  <c r="E204" i="11"/>
  <c r="I204" i="11" s="1"/>
  <c r="G203" i="11"/>
  <c r="E87" i="11"/>
  <c r="E88" i="11"/>
  <c r="K231" i="9"/>
  <c r="J241" i="11"/>
  <c r="J242" i="11" s="1"/>
  <c r="J194" i="11"/>
  <c r="J199" i="11"/>
  <c r="J273" i="11"/>
  <c r="I79" i="10"/>
  <c r="J79" i="10"/>
  <c r="G37" i="9"/>
  <c r="G134" i="11"/>
  <c r="J138" i="10"/>
  <c r="I138" i="10"/>
  <c r="H35" i="10"/>
  <c r="H36" i="10" s="1"/>
  <c r="H37" i="10" s="1"/>
  <c r="J197" i="11"/>
  <c r="C43" i="10"/>
  <c r="F56" i="10"/>
  <c r="H56" i="10"/>
  <c r="F109" i="10"/>
  <c r="H109" i="10"/>
  <c r="I104" i="10"/>
  <c r="J104" i="10"/>
  <c r="J17" i="10"/>
  <c r="F35" i="10"/>
  <c r="I17" i="10"/>
  <c r="H102" i="9"/>
  <c r="A102" i="9"/>
  <c r="F59" i="9"/>
  <c r="K102" i="9"/>
  <c r="F139" i="10"/>
  <c r="H165" i="10"/>
  <c r="H166" i="10" s="1"/>
  <c r="H167" i="10" s="1"/>
  <c r="A137" i="9"/>
  <c r="A135" i="9" s="1"/>
  <c r="H137" i="9"/>
  <c r="K137" i="9"/>
  <c r="H181" i="9"/>
  <c r="K181" i="9"/>
  <c r="A134" i="9"/>
  <c r="H134" i="9"/>
  <c r="K134" i="9" s="1"/>
  <c r="I137" i="10"/>
  <c r="J137" i="10"/>
  <c r="H231" i="9"/>
  <c r="C106" i="10"/>
  <c r="H34" i="9"/>
  <c r="K34" i="9"/>
  <c r="A34" i="9"/>
  <c r="H125" i="9"/>
  <c r="K125" i="9"/>
  <c r="A125" i="9"/>
  <c r="F62" i="9"/>
  <c r="F184" i="9"/>
  <c r="C95" i="10"/>
  <c r="A116" i="9"/>
  <c r="K116" i="9"/>
  <c r="H116" i="9"/>
  <c r="F66" i="10"/>
  <c r="J66" i="10" s="1"/>
  <c r="H66" i="10"/>
  <c r="H189" i="9"/>
  <c r="A189" i="9"/>
  <c r="A178" i="9" s="1"/>
  <c r="K189" i="9"/>
  <c r="J81" i="10"/>
  <c r="I81" i="10"/>
  <c r="K199" i="9"/>
  <c r="H199" i="9"/>
  <c r="A199" i="9"/>
  <c r="F122" i="9"/>
  <c r="G195" i="11"/>
  <c r="F55" i="10"/>
  <c r="H55" i="10"/>
  <c r="A24" i="9"/>
  <c r="A23" i="9" s="1"/>
  <c r="F91" i="10"/>
  <c r="A20" i="9"/>
  <c r="A11" i="9" s="1"/>
  <c r="H20" i="9"/>
  <c r="K20" i="9"/>
  <c r="J153" i="10"/>
  <c r="F165" i="10"/>
  <c r="F70" i="10"/>
  <c r="H70" i="10"/>
  <c r="E296" i="11" l="1"/>
  <c r="I294" i="11"/>
  <c r="G294" i="11"/>
  <c r="J294" i="11" s="1"/>
  <c r="J292" i="11"/>
  <c r="I293" i="11"/>
  <c r="G293" i="11"/>
  <c r="J293" i="11" s="1"/>
  <c r="E216" i="11"/>
  <c r="J128" i="11"/>
  <c r="G202" i="11"/>
  <c r="I202" i="11"/>
  <c r="J202" i="11" s="1"/>
  <c r="J86" i="11"/>
  <c r="G87" i="11"/>
  <c r="I87" i="11"/>
  <c r="J135" i="11"/>
  <c r="J134" i="11"/>
  <c r="I88" i="11"/>
  <c r="G88" i="11"/>
  <c r="J203" i="11"/>
  <c r="G204" i="11"/>
  <c r="J243" i="11"/>
  <c r="J244" i="11" s="1"/>
  <c r="D7" i="11" s="1"/>
  <c r="F95" i="10"/>
  <c r="H95" i="10"/>
  <c r="I91" i="10"/>
  <c r="J91" i="10"/>
  <c r="K62" i="9"/>
  <c r="A62" i="9"/>
  <c r="H62" i="9"/>
  <c r="C67" i="10"/>
  <c r="H67" i="10" s="1"/>
  <c r="I165" i="10"/>
  <c r="J165" i="10"/>
  <c r="F166" i="10"/>
  <c r="J37" i="9"/>
  <c r="K37" i="9" s="1"/>
  <c r="H37" i="9"/>
  <c r="H38" i="9" s="1"/>
  <c r="A122" i="9"/>
  <c r="H122" i="9"/>
  <c r="K122" i="9"/>
  <c r="F68" i="9"/>
  <c r="F109" i="9"/>
  <c r="I139" i="10"/>
  <c r="J139" i="10"/>
  <c r="F106" i="10"/>
  <c r="H106" i="10"/>
  <c r="J56" i="10"/>
  <c r="I56" i="10"/>
  <c r="H184" i="9"/>
  <c r="K184" i="9"/>
  <c r="H23" i="9"/>
  <c r="J195" i="11"/>
  <c r="F206" i="9"/>
  <c r="K59" i="9"/>
  <c r="A59" i="9"/>
  <c r="H59" i="9"/>
  <c r="F43" i="10"/>
  <c r="H43" i="10"/>
  <c r="H52" i="10" s="1"/>
  <c r="C72" i="10"/>
  <c r="J274" i="11"/>
  <c r="J275" i="11" s="1"/>
  <c r="I55" i="10"/>
  <c r="J55" i="10"/>
  <c r="J35" i="10"/>
  <c r="I35" i="10"/>
  <c r="F36" i="10"/>
  <c r="K23" i="9"/>
  <c r="H47" i="9"/>
  <c r="K47" i="9" s="1"/>
  <c r="I70" i="10"/>
  <c r="J70" i="10"/>
  <c r="J109" i="10"/>
  <c r="I109" i="10"/>
  <c r="J87" i="11" l="1"/>
  <c r="J307" i="11"/>
  <c r="J308" i="11" s="1"/>
  <c r="I296" i="11"/>
  <c r="G296" i="11"/>
  <c r="J296" i="11" s="1"/>
  <c r="I216" i="11"/>
  <c r="J222" i="11" s="1"/>
  <c r="J223" i="11" s="1"/>
  <c r="G216" i="11"/>
  <c r="J88" i="11"/>
  <c r="J204" i="11"/>
  <c r="J106" i="11"/>
  <c r="J107" i="11"/>
  <c r="J276" i="11"/>
  <c r="D8" i="11" s="1"/>
  <c r="H177" i="10"/>
  <c r="I106" i="10"/>
  <c r="J106" i="10"/>
  <c r="I43" i="10"/>
  <c r="J43" i="10"/>
  <c r="F52" i="10"/>
  <c r="H48" i="9"/>
  <c r="K48" i="9" s="1"/>
  <c r="K38" i="9"/>
  <c r="K49" i="9" s="1"/>
  <c r="H206" i="9"/>
  <c r="H207" i="9" s="1"/>
  <c r="K206" i="9"/>
  <c r="H210" i="9" s="1"/>
  <c r="K210" i="9" s="1"/>
  <c r="I166" i="10"/>
  <c r="J166" i="10"/>
  <c r="F167" i="10"/>
  <c r="A61" i="9"/>
  <c r="H113" i="10"/>
  <c r="H114" i="10" s="1"/>
  <c r="H115" i="10" s="1"/>
  <c r="I95" i="10"/>
  <c r="J95" i="10"/>
  <c r="F72" i="10"/>
  <c r="H72" i="10"/>
  <c r="I36" i="10"/>
  <c r="J36" i="10"/>
  <c r="F37" i="10"/>
  <c r="J37" i="10" s="1"/>
  <c r="K207" i="9"/>
  <c r="H49" i="9"/>
  <c r="F118" i="9"/>
  <c r="A109" i="9"/>
  <c r="H109" i="9"/>
  <c r="K109" i="9"/>
  <c r="H68" i="9"/>
  <c r="A68" i="9"/>
  <c r="K68" i="9"/>
  <c r="F113" i="10"/>
  <c r="J306" i="11" l="1"/>
  <c r="J108" i="11"/>
  <c r="J313" i="11"/>
  <c r="J216" i="11"/>
  <c r="J221" i="11"/>
  <c r="J312" i="11" s="1"/>
  <c r="H211" i="9"/>
  <c r="A49" i="9"/>
  <c r="I52" i="10"/>
  <c r="J52" i="10"/>
  <c r="F177" i="10"/>
  <c r="J113" i="10"/>
  <c r="I113" i="10"/>
  <c r="I72" i="10"/>
  <c r="J72" i="10"/>
  <c r="F114" i="10"/>
  <c r="I167" i="10"/>
  <c r="J167" i="10"/>
  <c r="F92" i="9"/>
  <c r="F98" i="9"/>
  <c r="K211" i="9"/>
  <c r="K118" i="9"/>
  <c r="A118" i="9"/>
  <c r="H118" i="9"/>
  <c r="J309" i="11" l="1"/>
  <c r="J310" i="11" s="1"/>
  <c r="J311" i="11"/>
  <c r="D9" i="11" s="1"/>
  <c r="J224" i="11"/>
  <c r="J225" i="11" s="1"/>
  <c r="J226" i="11" s="1"/>
  <c r="D6" i="11" s="1"/>
  <c r="J109" i="11"/>
  <c r="A98" i="9"/>
  <c r="H98" i="9"/>
  <c r="K98" i="9"/>
  <c r="F132" i="9"/>
  <c r="C62" i="10"/>
  <c r="K92" i="9"/>
  <c r="A92" i="9"/>
  <c r="H92" i="9"/>
  <c r="F58" i="9"/>
  <c r="I114" i="10"/>
  <c r="J114" i="10"/>
  <c r="F115" i="10"/>
  <c r="I177" i="10"/>
  <c r="J110" i="11" l="1"/>
  <c r="J111" i="11" s="1"/>
  <c r="F62" i="10"/>
  <c r="H62" i="10"/>
  <c r="K135" i="9"/>
  <c r="A132" i="9"/>
  <c r="A73" i="9" s="1"/>
  <c r="A72" i="9" s="1"/>
  <c r="H132" i="9"/>
  <c r="K132" i="9"/>
  <c r="H139" i="9" s="1"/>
  <c r="K139" i="9" s="1"/>
  <c r="H135" i="9"/>
  <c r="J115" i="10"/>
  <c r="I115" i="10"/>
  <c r="A58" i="9"/>
  <c r="A52" i="9" s="1"/>
  <c r="A51" i="9" s="1"/>
  <c r="A50" i="9" s="1"/>
  <c r="A38" i="9" s="1"/>
  <c r="H58" i="9"/>
  <c r="K58" i="9"/>
  <c r="J137" i="11"/>
  <c r="J138" i="11" s="1"/>
  <c r="D3" i="11" l="1"/>
  <c r="H73" i="10"/>
  <c r="H74" i="10" s="1"/>
  <c r="J62" i="10"/>
  <c r="I62" i="10"/>
  <c r="F73" i="10"/>
  <c r="H138" i="9"/>
  <c r="K138" i="9" s="1"/>
  <c r="K72" i="9"/>
  <c r="Q266" i="9"/>
  <c r="H72" i="9"/>
  <c r="Q265" i="9"/>
  <c r="K140" i="9" l="1"/>
  <c r="K266" i="9" s="1"/>
  <c r="H140" i="9"/>
  <c r="H266" i="9" s="1"/>
  <c r="H178" i="10"/>
  <c r="H179" i="10" s="1"/>
  <c r="H75" i="10"/>
  <c r="I73" i="10"/>
  <c r="J73" i="10"/>
  <c r="F74" i="10"/>
  <c r="J139" i="11"/>
  <c r="J74" i="10" l="1"/>
  <c r="I74" i="10"/>
  <c r="F178" i="10"/>
  <c r="F75" i="10"/>
  <c r="I75" i="10" l="1"/>
  <c r="J75" i="10"/>
  <c r="J140" i="11"/>
  <c r="J314" i="11" s="1"/>
  <c r="I178" i="10"/>
  <c r="F179" i="10"/>
  <c r="I179" i="10" s="1"/>
  <c r="D4" i="11" l="1"/>
  <c r="D1" i="11" s="1"/>
</calcChain>
</file>

<file path=xl/sharedStrings.xml><?xml version="1.0" encoding="utf-8"?>
<sst xmlns="http://schemas.openxmlformats.org/spreadsheetml/2006/main" count="2061" uniqueCount="830">
  <si>
    <t>Наименование</t>
  </si>
  <si>
    <t>№ пп</t>
  </si>
  <si>
    <t>Примечания</t>
  </si>
  <si>
    <t>КРОВЛЯ</t>
  </si>
  <si>
    <t>Назначение</t>
  </si>
  <si>
    <t>РУЛОННЫЕ МАТЕРИАЛЫ</t>
  </si>
  <si>
    <t>УТЕПЛИТЕЛИ</t>
  </si>
  <si>
    <t>Льняная лента</t>
  </si>
  <si>
    <t>ЛИСТОВОЙ МАТЕРИАЛ</t>
  </si>
  <si>
    <t>МЕТАЛЛОКОНСТРУКЦИИ</t>
  </si>
  <si>
    <t>шт</t>
  </si>
  <si>
    <t>кровля</t>
  </si>
  <si>
    <t>Опора скользящая крепежная (комплект)</t>
  </si>
  <si>
    <t>Rockwool Лайт Баттс</t>
  </si>
  <si>
    <t>Комплектовочная ведомость на покупной материал</t>
  </si>
  <si>
    <t>Имитатор бруса</t>
  </si>
  <si>
    <t>покрытие кровли</t>
  </si>
  <si>
    <t xml:space="preserve">крепление СБС </t>
  </si>
  <si>
    <t>крепление БРУСА</t>
  </si>
  <si>
    <t>Кол-во (ф-кое)</t>
  </si>
  <si>
    <t>полы 2-го этажа</t>
  </si>
  <si>
    <t>опора стойки</t>
  </si>
  <si>
    <t>Ед. изм.</t>
  </si>
  <si>
    <t>м2</t>
  </si>
  <si>
    <t>м.п.</t>
  </si>
  <si>
    <t>м3</t>
  </si>
  <si>
    <t>кг</t>
  </si>
  <si>
    <t>брус</t>
  </si>
  <si>
    <t>Пароизоляция B</t>
  </si>
  <si>
    <t>Фанера (12мм)</t>
  </si>
  <si>
    <t>Ветрозащита A</t>
  </si>
  <si>
    <t>C двух сторон</t>
  </si>
  <si>
    <t>перекрытие</t>
  </si>
  <si>
    <t>МЕТИЗЫ</t>
  </si>
  <si>
    <t>мп</t>
  </si>
  <si>
    <t>крепление СБС</t>
  </si>
  <si>
    <t>балочные подвесы</t>
  </si>
  <si>
    <t>OSB-3 (12мм)</t>
  </si>
  <si>
    <r>
      <rPr>
        <b/>
        <sz val="10"/>
        <color indexed="10"/>
        <rFont val="Century Gothic"/>
        <family val="2"/>
        <charset val="204"/>
      </rPr>
      <t>Авто.</t>
    </r>
    <r>
      <rPr>
        <b/>
        <sz val="10"/>
        <rFont val="Century Gothic"/>
        <family val="2"/>
        <charset val="204"/>
      </rPr>
      <t xml:space="preserve"> на основе доски обсады</t>
    </r>
  </si>
  <si>
    <t>Опора стойки огр. (стакан)</t>
  </si>
  <si>
    <t>терраса/балкон</t>
  </si>
  <si>
    <t>в оконных проемах для стойки 90х90мм</t>
  </si>
  <si>
    <r>
      <t xml:space="preserve">Домкрат М30 </t>
    </r>
    <r>
      <rPr>
        <sz val="10"/>
        <color indexed="10"/>
        <rFont val="Century Gothic"/>
        <family val="2"/>
        <charset val="204"/>
      </rPr>
      <t>120х120</t>
    </r>
    <r>
      <rPr>
        <sz val="10"/>
        <rFont val="Century Gothic"/>
        <family val="2"/>
        <charset val="204"/>
      </rPr>
      <t>мм</t>
    </r>
  </si>
  <si>
    <t>для OSB под мягкую черепицу</t>
  </si>
  <si>
    <t>Isover classic</t>
  </si>
  <si>
    <t>Брус</t>
  </si>
  <si>
    <t>в проемы</t>
  </si>
  <si>
    <t>Длина верхней части оконных и дверных проемов в брусе</t>
  </si>
  <si>
    <t>Площадь кровли с покрытием из мягкой черепицы</t>
  </si>
  <si>
    <t>ПРОЧЕЕ</t>
  </si>
  <si>
    <t>Двери входные</t>
  </si>
  <si>
    <t>Отливы на окна</t>
  </si>
  <si>
    <t xml:space="preserve">Указать количество стоек которые крепятся к оголовку свай </t>
  </si>
  <si>
    <t>Указать количество стоек которые крепятся к  фундаменту через уголок</t>
  </si>
  <si>
    <t>крепление к фундаменту</t>
  </si>
  <si>
    <r>
      <t xml:space="preserve">Домкрат М30 </t>
    </r>
    <r>
      <rPr>
        <sz val="10"/>
        <color indexed="10"/>
        <rFont val="Century Gothic"/>
        <family val="2"/>
        <charset val="204"/>
      </rPr>
      <t>150х150</t>
    </r>
    <r>
      <rPr>
        <sz val="10"/>
        <rFont val="Century Gothic"/>
        <family val="2"/>
        <charset val="204"/>
      </rPr>
      <t xml:space="preserve">мм </t>
    </r>
  </si>
  <si>
    <t>Длина всех ендовых</t>
  </si>
  <si>
    <t>опора стойки огр</t>
  </si>
  <si>
    <t>Аэратор</t>
  </si>
  <si>
    <r>
      <t xml:space="preserve">Уголок </t>
    </r>
    <r>
      <rPr>
        <sz val="10"/>
        <color indexed="10"/>
        <rFont val="Century Gothic"/>
        <family val="2"/>
        <charset val="204"/>
      </rPr>
      <t>90x90х65x2</t>
    </r>
    <r>
      <rPr>
        <sz val="10"/>
        <color indexed="8"/>
        <rFont val="Century Gothic"/>
        <family val="2"/>
        <charset val="204"/>
      </rPr>
      <t>мм</t>
    </r>
  </si>
  <si>
    <t>Количество оконных и дверных проемов</t>
  </si>
  <si>
    <t>мм</t>
  </si>
  <si>
    <t>крепление стойки к фундаменту и домкратам</t>
  </si>
  <si>
    <r>
      <rPr>
        <b/>
        <sz val="10"/>
        <color indexed="10"/>
        <rFont val="Century Gothic"/>
        <family val="2"/>
        <charset val="204"/>
      </rPr>
      <t>Из расчёта 1шт на 30м2 кровли, но не мение двуш штук на скат.</t>
    </r>
    <r>
      <rPr>
        <b/>
        <sz val="10"/>
        <color indexed="8"/>
        <rFont val="Century Gothic"/>
        <family val="2"/>
        <charset val="204"/>
      </rPr>
      <t xml:space="preserve"> Теплая кровля в случае, как на картинке.</t>
    </r>
  </si>
  <si>
    <t>Металл индивидуального изготовлния</t>
  </si>
  <si>
    <t>(см. чертеж)</t>
  </si>
  <si>
    <r>
      <t xml:space="preserve">Гвоздевые пластины </t>
    </r>
    <r>
      <rPr>
        <sz val="10"/>
        <color indexed="10"/>
        <rFont val="Century Gothic"/>
        <family val="2"/>
        <charset val="204"/>
      </rPr>
      <t>129х102х1</t>
    </r>
    <r>
      <rPr>
        <sz val="10"/>
        <rFont val="Century Gothic"/>
        <family val="2"/>
        <charset val="204"/>
      </rPr>
      <t>мм</t>
    </r>
  </si>
  <si>
    <t>лаги перекрытия/террас/балкона</t>
  </si>
  <si>
    <t>для скользящего уголка</t>
  </si>
  <si>
    <t>крепление каркаса/декор. элементов к бруса</t>
  </si>
  <si>
    <r>
      <rPr>
        <sz val="9"/>
        <rFont val="Century Gothic"/>
        <family val="2"/>
        <charset val="204"/>
      </rPr>
      <t xml:space="preserve">Шайба кузовная </t>
    </r>
    <r>
      <rPr>
        <sz val="9"/>
        <color indexed="10"/>
        <rFont val="Century Gothic"/>
        <family val="2"/>
        <charset val="204"/>
      </rPr>
      <t>М12</t>
    </r>
    <r>
      <rPr>
        <i/>
        <sz val="10"/>
        <rFont val="Century Gothic"/>
        <family val="2"/>
        <charset val="204"/>
      </rPr>
      <t xml:space="preserve">    </t>
    </r>
    <r>
      <rPr>
        <i/>
        <sz val="9"/>
        <rFont val="Century Gothic"/>
        <family val="2"/>
        <charset val="204"/>
      </rPr>
      <t>DIN9024</t>
    </r>
  </si>
  <si>
    <r>
      <t xml:space="preserve">Соединительная муфта </t>
    </r>
    <r>
      <rPr>
        <sz val="10"/>
        <color indexed="10"/>
        <rFont val="Century Gothic"/>
        <family val="2"/>
        <charset val="204"/>
      </rPr>
      <t>М12</t>
    </r>
  </si>
  <si>
    <r>
      <t xml:space="preserve">Стальной нагель </t>
    </r>
    <r>
      <rPr>
        <sz val="10"/>
        <color indexed="10"/>
        <rFont val="Century Gothic"/>
        <family val="2"/>
        <charset val="204"/>
      </rPr>
      <t>d28</t>
    </r>
    <r>
      <rPr>
        <sz val="10"/>
        <rFont val="Century Gothic"/>
        <family val="2"/>
        <charset val="204"/>
      </rPr>
      <t>мм</t>
    </r>
  </si>
  <si>
    <r>
      <t xml:space="preserve">Шпилька металлическая </t>
    </r>
    <r>
      <rPr>
        <sz val="10"/>
        <color indexed="10"/>
        <rFont val="Century Gothic"/>
        <family val="2"/>
        <charset val="204"/>
      </rPr>
      <t>d=16</t>
    </r>
    <r>
      <rPr>
        <sz val="10"/>
        <rFont val="Century Gothic"/>
        <family val="2"/>
        <charset val="204"/>
      </rPr>
      <t xml:space="preserve"> мм, L=2000мм</t>
    </r>
  </si>
  <si>
    <r>
      <rPr>
        <sz val="9"/>
        <rFont val="Century Gothic"/>
        <family val="2"/>
        <charset val="204"/>
      </rPr>
      <t xml:space="preserve">Сантехнический саморез </t>
    </r>
    <r>
      <rPr>
        <sz val="9"/>
        <color indexed="10"/>
        <rFont val="Century Gothic"/>
        <family val="2"/>
        <charset val="204"/>
      </rPr>
      <t>6*70</t>
    </r>
    <r>
      <rPr>
        <sz val="10"/>
        <rFont val="Century Gothic"/>
        <family val="2"/>
        <charset val="204"/>
      </rPr>
      <t xml:space="preserve">      DIN571</t>
    </r>
  </si>
  <si>
    <r>
      <t xml:space="preserve">Опора балки раскрытая </t>
    </r>
    <r>
      <rPr>
        <sz val="10"/>
        <color indexed="10"/>
        <rFont val="Century Gothic"/>
        <family val="2"/>
        <charset val="204"/>
      </rPr>
      <t>45*90</t>
    </r>
    <r>
      <rPr>
        <sz val="10"/>
        <rFont val="Century Gothic"/>
        <family val="2"/>
        <charset val="204"/>
      </rPr>
      <t xml:space="preserve">мм - арт. </t>
    </r>
    <r>
      <rPr>
        <sz val="10"/>
        <color indexed="56"/>
        <rFont val="Century Gothic"/>
        <family val="2"/>
        <charset val="204"/>
      </rPr>
      <t>100 04 9054 045 2р*</t>
    </r>
    <r>
      <rPr>
        <sz val="10"/>
        <color indexed="18"/>
        <rFont val="Century Gothic"/>
        <family val="2"/>
        <charset val="204"/>
      </rPr>
      <t xml:space="preserve"> </t>
    </r>
    <r>
      <rPr>
        <sz val="10"/>
        <rFont val="Century Gothic"/>
        <family val="2"/>
        <charset val="204"/>
      </rPr>
      <t>/петротех/</t>
    </r>
  </si>
  <si>
    <r>
      <t xml:space="preserve">Уголок скользящий </t>
    </r>
    <r>
      <rPr>
        <sz val="10"/>
        <color indexed="10"/>
        <rFont val="Century Gothic"/>
        <family val="2"/>
        <charset val="204"/>
      </rPr>
      <t>30x30х120</t>
    </r>
    <r>
      <rPr>
        <sz val="10"/>
        <rFont val="Century Gothic"/>
        <family val="2"/>
        <charset val="204"/>
      </rPr>
      <t xml:space="preserve">мм - арт </t>
    </r>
    <r>
      <rPr>
        <sz val="10"/>
        <color indexed="56"/>
        <rFont val="Century Gothic"/>
        <family val="2"/>
        <charset val="204"/>
      </rPr>
      <t>200 02 3030 120 П510</t>
    </r>
    <r>
      <rPr>
        <sz val="10"/>
        <rFont val="Century Gothic"/>
        <family val="2"/>
        <charset val="204"/>
      </rPr>
      <t xml:space="preserve"> </t>
    </r>
    <r>
      <rPr>
        <sz val="8"/>
        <rFont val="Century Gothic"/>
        <family val="2"/>
        <charset val="204"/>
      </rPr>
      <t>/петротех/</t>
    </r>
  </si>
  <si>
    <r>
      <t xml:space="preserve">Домкрат М16 </t>
    </r>
    <r>
      <rPr>
        <sz val="10"/>
        <color indexed="10"/>
        <rFont val="Century Gothic"/>
        <family val="2"/>
        <charset val="204"/>
      </rPr>
      <t>50х50</t>
    </r>
    <r>
      <rPr>
        <sz val="10"/>
        <rFont val="Century Gothic"/>
        <family val="2"/>
        <charset val="204"/>
      </rPr>
      <t>мм -</t>
    </r>
    <r>
      <rPr>
        <sz val="10"/>
        <color indexed="56"/>
        <rFont val="Century Gothic"/>
        <family val="2"/>
        <charset val="204"/>
      </rPr>
      <t xml:space="preserve"> арт. 500 06 5050 М16 150 0 </t>
    </r>
    <r>
      <rPr>
        <sz val="8"/>
        <rFont val="Century Gothic"/>
        <family val="2"/>
        <charset val="204"/>
      </rPr>
      <t>/петротех/</t>
    </r>
  </si>
  <si>
    <r>
      <t>Шпилька металлическая</t>
    </r>
    <r>
      <rPr>
        <sz val="10"/>
        <color indexed="60"/>
        <rFont val="Century Gothic"/>
        <family val="2"/>
        <charset val="204"/>
      </rPr>
      <t xml:space="preserve"> </t>
    </r>
    <r>
      <rPr>
        <sz val="10"/>
        <color indexed="10"/>
        <rFont val="Century Gothic"/>
        <family val="2"/>
        <charset val="204"/>
      </rPr>
      <t>d=12</t>
    </r>
    <r>
      <rPr>
        <sz val="10"/>
        <rFont val="Century Gothic"/>
        <family val="2"/>
        <charset val="204"/>
      </rPr>
      <t xml:space="preserve"> мм, L=2000мм</t>
    </r>
  </si>
  <si>
    <r>
      <t xml:space="preserve">Гайка фиксатор </t>
    </r>
    <r>
      <rPr>
        <sz val="10"/>
        <color indexed="10"/>
        <rFont val="Century Gothic"/>
        <family val="2"/>
        <charset val="204"/>
      </rPr>
      <t>М12</t>
    </r>
    <r>
      <rPr>
        <sz val="10"/>
        <rFont val="Century Gothic"/>
        <family val="2"/>
        <charset val="204"/>
      </rPr>
      <t xml:space="preserve"> </t>
    </r>
    <r>
      <rPr>
        <sz val="9"/>
        <color indexed="10"/>
        <rFont val="Century Gothic"/>
        <family val="2"/>
        <charset val="204"/>
      </rPr>
      <t>60х60х6</t>
    </r>
    <r>
      <rPr>
        <sz val="9"/>
        <rFont val="Century Gothic"/>
        <family val="2"/>
        <charset val="204"/>
      </rPr>
      <t>мм</t>
    </r>
  </si>
  <si>
    <r>
      <t xml:space="preserve">Саморезы </t>
    </r>
    <r>
      <rPr>
        <sz val="10"/>
        <color indexed="10"/>
        <rFont val="Century Gothic"/>
        <family val="2"/>
        <charset val="204"/>
      </rPr>
      <t>4,2*65</t>
    </r>
  </si>
  <si>
    <r>
      <t xml:space="preserve">Гвозди ершеные  </t>
    </r>
    <r>
      <rPr>
        <sz val="10"/>
        <color indexed="10"/>
        <rFont val="Century Gothic"/>
        <family val="2"/>
        <charset val="204"/>
      </rPr>
      <t>4,2*50</t>
    </r>
  </si>
  <si>
    <r>
      <t xml:space="preserve">Гвозди ершеные  </t>
    </r>
    <r>
      <rPr>
        <sz val="10"/>
        <color indexed="10"/>
        <rFont val="Century Gothic"/>
        <family val="2"/>
        <charset val="204"/>
      </rPr>
      <t>4,2*70</t>
    </r>
  </si>
  <si>
    <r>
      <t xml:space="preserve">Гвозди  </t>
    </r>
    <r>
      <rPr>
        <sz val="10"/>
        <color indexed="10"/>
        <rFont val="Century Gothic"/>
        <family val="2"/>
        <charset val="204"/>
      </rPr>
      <t>3*80</t>
    </r>
  </si>
  <si>
    <t>Мансардные окна Velux</t>
  </si>
  <si>
    <t>размеры см. в АР</t>
  </si>
  <si>
    <r>
      <t xml:space="preserve">Шайба кузовная </t>
    </r>
    <r>
      <rPr>
        <sz val="9"/>
        <color indexed="10"/>
        <rFont val="Century Gothic"/>
        <family val="2"/>
        <charset val="204"/>
      </rPr>
      <t>М12</t>
    </r>
    <r>
      <rPr>
        <sz val="9"/>
        <rFont val="Century Gothic"/>
        <family val="2"/>
        <charset val="204"/>
      </rPr>
      <t xml:space="preserve">       DIN9021</t>
    </r>
  </si>
  <si>
    <t>для крепление индивидуального металл. изделия</t>
  </si>
  <si>
    <r>
      <t xml:space="preserve">Шайба кузавная </t>
    </r>
    <r>
      <rPr>
        <sz val="9"/>
        <color indexed="10"/>
        <rFont val="Century Gothic"/>
        <family val="2"/>
        <charset val="204"/>
      </rPr>
      <t xml:space="preserve">М6         </t>
    </r>
    <r>
      <rPr>
        <sz val="9"/>
        <rFont val="Century Gothic"/>
        <family val="2"/>
        <charset val="204"/>
      </rPr>
      <t xml:space="preserve"> DIN9021</t>
    </r>
  </si>
  <si>
    <r>
      <t xml:space="preserve">Шайба кузовная </t>
    </r>
    <r>
      <rPr>
        <sz val="9"/>
        <color indexed="10"/>
        <rFont val="Century Gothic"/>
        <family val="2"/>
        <charset val="204"/>
      </rPr>
      <t>M16</t>
    </r>
    <r>
      <rPr>
        <sz val="9"/>
        <rFont val="Century Gothic"/>
        <family val="2"/>
        <charset val="204"/>
      </rPr>
      <t xml:space="preserve">      </t>
    </r>
    <r>
      <rPr>
        <i/>
        <sz val="9"/>
        <rFont val="Century Gothic"/>
        <family val="2"/>
        <charset val="204"/>
      </rPr>
      <t>DIN9024</t>
    </r>
  </si>
  <si>
    <r>
      <t xml:space="preserve">Гайка </t>
    </r>
    <r>
      <rPr>
        <sz val="10"/>
        <color indexed="10"/>
        <rFont val="Century Gothic"/>
        <family val="2"/>
        <charset val="204"/>
      </rPr>
      <t>M16</t>
    </r>
    <r>
      <rPr>
        <sz val="10"/>
        <rFont val="Century Gothic"/>
        <family val="2"/>
        <charset val="204"/>
      </rPr>
      <t xml:space="preserve">                     </t>
    </r>
    <r>
      <rPr>
        <i/>
        <sz val="9"/>
        <rFont val="Century Gothic"/>
        <family val="2"/>
        <charset val="204"/>
      </rPr>
      <t>DIN934</t>
    </r>
  </si>
  <si>
    <r>
      <t xml:space="preserve">Гайка </t>
    </r>
    <r>
      <rPr>
        <sz val="10"/>
        <color indexed="10"/>
        <rFont val="Century Gothic"/>
        <family val="2"/>
        <charset val="204"/>
      </rPr>
      <t>М12</t>
    </r>
    <r>
      <rPr>
        <sz val="10"/>
        <rFont val="Century Gothic"/>
        <family val="2"/>
        <charset val="204"/>
      </rPr>
      <t xml:space="preserve">                     </t>
    </r>
    <r>
      <rPr>
        <i/>
        <sz val="9"/>
        <rFont val="Century Gothic"/>
        <family val="2"/>
        <charset val="204"/>
      </rPr>
      <t>DIN934</t>
    </r>
  </si>
  <si>
    <t>Диаметр шпильки, гайки и шайбы указывается на основе расчёта</t>
  </si>
  <si>
    <t>теплая кровля</t>
  </si>
  <si>
    <t xml:space="preserve">холодная кровля </t>
  </si>
  <si>
    <r>
      <rPr>
        <b/>
        <sz val="18"/>
        <color indexed="10"/>
        <rFont val="Century Gothic"/>
        <family val="2"/>
        <charset val="204"/>
      </rPr>
      <t>S</t>
    </r>
    <r>
      <rPr>
        <b/>
        <sz val="10"/>
        <color indexed="10"/>
        <rFont val="Century Gothic"/>
        <family val="2"/>
        <charset val="204"/>
      </rPr>
      <t xml:space="preserve"> кровли</t>
    </r>
    <r>
      <rPr>
        <b/>
        <sz val="10"/>
        <color indexed="8"/>
        <rFont val="Century Gothic"/>
        <family val="2"/>
        <charset val="204"/>
      </rPr>
      <t xml:space="preserve"> - навесы, козырьки (не соединяющиеся с теплой кровлей) </t>
    </r>
  </si>
  <si>
    <t>по длине в двойные стропила</t>
  </si>
  <si>
    <t>лаги перекрытия</t>
  </si>
  <si>
    <t>полы 1-го этажа</t>
  </si>
  <si>
    <t>если фундамент лента или сваи</t>
  </si>
  <si>
    <t>для крепления обсады</t>
  </si>
  <si>
    <t xml:space="preserve">сбс </t>
  </si>
  <si>
    <r>
      <t xml:space="preserve">Анкер S-KA </t>
    </r>
    <r>
      <rPr>
        <sz val="10"/>
        <color indexed="10"/>
        <rFont val="Century Gothic"/>
        <family val="2"/>
        <charset val="204"/>
      </rPr>
      <t>10/15*65</t>
    </r>
  </si>
  <si>
    <r>
      <t xml:space="preserve">Сантехнический саморез </t>
    </r>
    <r>
      <rPr>
        <sz val="9"/>
        <color indexed="10"/>
        <rFont val="Century Gothic"/>
        <family val="2"/>
        <charset val="204"/>
      </rPr>
      <t>6*100</t>
    </r>
    <r>
      <rPr>
        <sz val="9"/>
        <rFont val="Century Gothic"/>
        <family val="2"/>
        <charset val="204"/>
      </rPr>
      <t xml:space="preserve">      DIN571</t>
    </r>
  </si>
  <si>
    <t>Пружинный узел "Сила"</t>
  </si>
  <si>
    <r>
      <t xml:space="preserve">Домкрат М30 </t>
    </r>
    <r>
      <rPr>
        <sz val="10"/>
        <color indexed="10"/>
        <rFont val="Century Gothic"/>
        <family val="2"/>
        <charset val="204"/>
      </rPr>
      <t>000х000</t>
    </r>
    <r>
      <rPr>
        <sz val="10"/>
        <rFont val="Century Gothic"/>
        <family val="2"/>
        <charset val="204"/>
      </rPr>
      <t xml:space="preserve">мм </t>
    </r>
  </si>
  <si>
    <t>индивидуальный домкрат</t>
  </si>
  <si>
    <t>наружных стен 2эт</t>
  </si>
  <si>
    <t xml:space="preserve"> наружных стен 2эт</t>
  </si>
  <si>
    <t>перегородки 2эт</t>
  </si>
  <si>
    <r>
      <t xml:space="preserve">пол 1-го эт - </t>
    </r>
    <r>
      <rPr>
        <sz val="9"/>
        <color indexed="10"/>
        <rFont val="Century Gothic"/>
        <family val="2"/>
        <charset val="204"/>
      </rPr>
      <t>(см. ТЗ)</t>
    </r>
    <r>
      <rPr>
        <sz val="9"/>
        <rFont val="Century Gothic"/>
        <family val="2"/>
        <charset val="204"/>
      </rPr>
      <t>мм</t>
    </r>
  </si>
  <si>
    <r>
      <t xml:space="preserve">каркас стен - </t>
    </r>
    <r>
      <rPr>
        <sz val="9"/>
        <color indexed="10"/>
        <rFont val="Century Gothic"/>
        <family val="2"/>
        <charset val="204"/>
      </rPr>
      <t>(см. ТЗ)</t>
    </r>
    <r>
      <rPr>
        <sz val="9"/>
        <rFont val="Century Gothic"/>
        <family val="2"/>
        <charset val="204"/>
      </rPr>
      <t>мм</t>
    </r>
  </si>
  <si>
    <t xml:space="preserve"> наружные стен</t>
  </si>
  <si>
    <t xml:space="preserve">наружных стен </t>
  </si>
  <si>
    <t>перегородки</t>
  </si>
  <si>
    <r>
      <t xml:space="preserve">Шайба кузавная </t>
    </r>
    <r>
      <rPr>
        <sz val="9"/>
        <color indexed="10"/>
        <rFont val="Century Gothic"/>
        <family val="2"/>
        <charset val="204"/>
      </rPr>
      <t>М4</t>
    </r>
    <r>
      <rPr>
        <sz val="9"/>
        <rFont val="Century Gothic"/>
        <family val="2"/>
        <charset val="204"/>
      </rPr>
      <t xml:space="preserve">          DIN9021</t>
    </r>
  </si>
  <si>
    <r>
      <t xml:space="preserve">Гайка </t>
    </r>
    <r>
      <rPr>
        <sz val="10"/>
        <color indexed="10"/>
        <rFont val="Century Gothic"/>
        <family val="2"/>
        <charset val="204"/>
      </rPr>
      <t>М00</t>
    </r>
    <r>
      <rPr>
        <sz val="10"/>
        <rFont val="Century Gothic"/>
        <family val="2"/>
        <charset val="204"/>
      </rPr>
      <t xml:space="preserve">                    </t>
    </r>
    <r>
      <rPr>
        <i/>
        <sz val="10"/>
        <rFont val="Century Gothic"/>
        <family val="2"/>
        <charset val="204"/>
      </rPr>
      <t>DIN934</t>
    </r>
  </si>
  <si>
    <r>
      <t xml:space="preserve">Шайба кузовная </t>
    </r>
    <r>
      <rPr>
        <sz val="9"/>
        <color indexed="10"/>
        <rFont val="Century Gothic"/>
        <family val="2"/>
        <charset val="204"/>
      </rPr>
      <t>М00</t>
    </r>
    <r>
      <rPr>
        <sz val="9"/>
        <rFont val="Century Gothic"/>
        <family val="2"/>
        <charset val="204"/>
      </rPr>
      <t xml:space="preserve">      </t>
    </r>
    <r>
      <rPr>
        <i/>
        <sz val="9"/>
        <rFont val="Century Gothic"/>
        <family val="2"/>
        <charset val="204"/>
      </rPr>
      <t>DIN9024</t>
    </r>
  </si>
  <si>
    <r>
      <t xml:space="preserve">Шайба </t>
    </r>
    <r>
      <rPr>
        <sz val="10"/>
        <color indexed="10"/>
        <rFont val="Century Gothic"/>
        <family val="2"/>
        <charset val="204"/>
      </rPr>
      <t>М6</t>
    </r>
    <r>
      <rPr>
        <sz val="10"/>
        <rFont val="Century Gothic"/>
        <family val="2"/>
        <charset val="204"/>
      </rPr>
      <t xml:space="preserve">                    </t>
    </r>
    <r>
      <rPr>
        <i/>
        <sz val="9"/>
        <rFont val="Century Gothic"/>
        <family val="2"/>
        <charset val="204"/>
      </rPr>
      <t>DIN125</t>
    </r>
  </si>
  <si>
    <r>
      <t xml:space="preserve">Саморезы унив. оценкованые </t>
    </r>
    <r>
      <rPr>
        <sz val="8"/>
        <color indexed="10"/>
        <rFont val="Century Gothic"/>
        <family val="2"/>
        <charset val="204"/>
      </rPr>
      <t>3*60</t>
    </r>
  </si>
  <si>
    <t>для креплнеия имитатора</t>
  </si>
  <si>
    <r>
      <t xml:space="preserve">Держатель балки </t>
    </r>
    <r>
      <rPr>
        <sz val="10"/>
        <color indexed="10"/>
        <rFont val="Century Gothic"/>
        <family val="2"/>
        <charset val="204"/>
      </rPr>
      <t>40*170*40</t>
    </r>
    <r>
      <rPr>
        <sz val="10"/>
        <rFont val="Century Gothic"/>
        <family val="2"/>
        <charset val="204"/>
      </rPr>
      <t>мм (</t>
    </r>
    <r>
      <rPr>
        <sz val="10"/>
        <color indexed="53"/>
        <rFont val="Century Gothic"/>
        <family val="2"/>
        <charset val="204"/>
      </rPr>
      <t>50% левых/ 50% правых)</t>
    </r>
  </si>
  <si>
    <t>для крепления доски доп утепления 45х95мм к лагам</t>
  </si>
  <si>
    <t>Для крепления перегородки к брусу (по 6шт на одно примыкание к брусу)</t>
  </si>
  <si>
    <t>Гаражные ворота</t>
  </si>
  <si>
    <t>Капельник по линии стыка балкона и стены</t>
  </si>
  <si>
    <t>Капельник по линии ограждения балкона</t>
  </si>
  <si>
    <t>Москитная сетка</t>
  </si>
  <si>
    <t>Натуральная черепица</t>
  </si>
  <si>
    <t>Металлическая черепица</t>
  </si>
  <si>
    <t>Мягкая кровля</t>
  </si>
  <si>
    <t>Icopal ultra top (B)</t>
  </si>
  <si>
    <t>Icopal ultra  (H)</t>
  </si>
  <si>
    <t>праймер Icopal</t>
  </si>
  <si>
    <t>Вент канал</t>
  </si>
  <si>
    <t>АЦЛ (10мм)</t>
  </si>
  <si>
    <r>
      <rPr>
        <b/>
        <sz val="18"/>
        <color indexed="10"/>
        <rFont val="Century Gothic"/>
        <family val="2"/>
        <charset val="204"/>
      </rPr>
      <t>S</t>
    </r>
    <r>
      <rPr>
        <b/>
        <sz val="10"/>
        <color indexed="10"/>
        <rFont val="Century Gothic"/>
        <family val="2"/>
        <charset val="204"/>
      </rPr>
      <t xml:space="preserve"> теплой кровли</t>
    </r>
    <r>
      <rPr>
        <b/>
        <sz val="10"/>
        <color indexed="8"/>
        <rFont val="Century Gothic"/>
        <family val="2"/>
        <charset val="204"/>
      </rPr>
      <t xml:space="preserve"> </t>
    </r>
  </si>
  <si>
    <t>Выбрать тип кровли</t>
  </si>
  <si>
    <t>наплавляемое покрытие (кровля/балконы)</t>
  </si>
  <si>
    <t>Водосливная воронка</t>
  </si>
  <si>
    <r>
      <t xml:space="preserve">Саморезы "клопы" </t>
    </r>
    <r>
      <rPr>
        <sz val="10"/>
        <color indexed="10"/>
        <rFont val="Century Gothic"/>
        <family val="2"/>
        <charset val="204"/>
      </rPr>
      <t>4,2*16</t>
    </r>
  </si>
  <si>
    <t>отливы на окна</t>
  </si>
  <si>
    <t>Капельник по линии криволинейной кровли</t>
  </si>
  <si>
    <r>
      <t xml:space="preserve">Гвоздевые пластины </t>
    </r>
    <r>
      <rPr>
        <sz val="10"/>
        <color indexed="10"/>
        <rFont val="Century Gothic"/>
        <family val="2"/>
        <charset val="204"/>
      </rPr>
      <t>105х60х1</t>
    </r>
    <r>
      <rPr>
        <sz val="10"/>
        <rFont val="Century Gothic"/>
        <family val="2"/>
        <charset val="204"/>
      </rPr>
      <t>мм</t>
    </r>
  </si>
  <si>
    <t xml:space="preserve">для крепления металл нагеля </t>
  </si>
  <si>
    <t>санузел</t>
  </si>
  <si>
    <t>ЦСП (10мм)</t>
  </si>
  <si>
    <r>
      <t xml:space="preserve">Анкер S-KA </t>
    </r>
    <r>
      <rPr>
        <sz val="10"/>
        <color indexed="10"/>
        <rFont val="Century Gothic"/>
        <family val="2"/>
        <charset val="204"/>
      </rPr>
      <t>6/50*100</t>
    </r>
  </si>
  <si>
    <t>шаг 1,5 метра</t>
  </si>
  <si>
    <t>крепление подкладной доски</t>
  </si>
  <si>
    <t>для крепления домкрата</t>
  </si>
  <si>
    <r>
      <t xml:space="preserve">Шайба </t>
    </r>
    <r>
      <rPr>
        <sz val="10"/>
        <color indexed="10"/>
        <rFont val="Century Gothic"/>
        <family val="2"/>
        <charset val="204"/>
      </rPr>
      <t>М6</t>
    </r>
    <r>
      <rPr>
        <sz val="10"/>
        <rFont val="Century Gothic"/>
        <family val="2"/>
        <charset val="204"/>
      </rPr>
      <t xml:space="preserve">                    DIN125</t>
    </r>
  </si>
  <si>
    <t xml:space="preserve">кровля </t>
  </si>
  <si>
    <t>OSB-3 (22мм)</t>
  </si>
  <si>
    <r>
      <t xml:space="preserve">кровля - </t>
    </r>
    <r>
      <rPr>
        <sz val="9"/>
        <color indexed="10"/>
        <rFont val="Century Gothic"/>
        <family val="2"/>
        <charset val="204"/>
      </rPr>
      <t>250</t>
    </r>
    <r>
      <rPr>
        <sz val="9"/>
        <rFont val="Century Gothic"/>
        <family val="2"/>
        <charset val="204"/>
      </rPr>
      <t>мм</t>
    </r>
  </si>
  <si>
    <r>
      <t xml:space="preserve">пол 2-го эт - </t>
    </r>
    <r>
      <rPr>
        <sz val="9"/>
        <color indexed="10"/>
        <rFont val="Century Gothic"/>
        <family val="2"/>
        <charset val="204"/>
      </rPr>
      <t>150</t>
    </r>
    <r>
      <rPr>
        <sz val="9"/>
        <rFont val="Century Gothic"/>
        <family val="2"/>
        <charset val="204"/>
      </rPr>
      <t>мм</t>
    </r>
  </si>
  <si>
    <r>
      <t xml:space="preserve">каркас перегор. - </t>
    </r>
    <r>
      <rPr>
        <sz val="9"/>
        <color indexed="10"/>
        <rFont val="Century Gothic"/>
        <family val="2"/>
        <charset val="204"/>
      </rPr>
      <t>100</t>
    </r>
    <r>
      <rPr>
        <sz val="9"/>
        <rFont val="Century Gothic"/>
        <family val="2"/>
        <charset val="204"/>
      </rPr>
      <t>мм</t>
    </r>
  </si>
  <si>
    <r>
      <t xml:space="preserve">Опора балки раскрытая </t>
    </r>
    <r>
      <rPr>
        <sz val="10"/>
        <color indexed="10"/>
        <rFont val="Century Gothic"/>
        <family val="2"/>
        <charset val="204"/>
      </rPr>
      <t>100*140</t>
    </r>
    <r>
      <rPr>
        <sz val="10"/>
        <rFont val="Century Gothic"/>
        <family val="2"/>
        <charset val="204"/>
      </rPr>
      <t xml:space="preserve">мм - </t>
    </r>
    <r>
      <rPr>
        <sz val="10"/>
        <color indexed="56"/>
        <rFont val="Century Gothic"/>
        <family val="2"/>
        <charset val="204"/>
      </rPr>
      <t>арт. 100 04 100 2</t>
    </r>
    <r>
      <rPr>
        <sz val="10"/>
        <color indexed="56"/>
        <rFont val="Century Gothic"/>
        <family val="2"/>
        <charset val="204"/>
      </rPr>
      <t xml:space="preserve"> </t>
    </r>
    <r>
      <rPr>
        <sz val="8"/>
        <rFont val="Century Gothic"/>
        <family val="2"/>
        <charset val="204"/>
      </rPr>
      <t>/петротех/</t>
    </r>
  </si>
  <si>
    <r>
      <t xml:space="preserve">Опора балки раскрытая </t>
    </r>
    <r>
      <rPr>
        <sz val="10"/>
        <color indexed="10"/>
        <rFont val="Century Gothic"/>
        <family val="2"/>
        <charset val="204"/>
      </rPr>
      <t>50*140</t>
    </r>
    <r>
      <rPr>
        <sz val="10"/>
        <rFont val="Century Gothic"/>
        <family val="2"/>
        <charset val="204"/>
      </rPr>
      <t xml:space="preserve">мм - </t>
    </r>
    <r>
      <rPr>
        <sz val="10"/>
        <color indexed="56"/>
        <rFont val="Century Gothic"/>
        <family val="2"/>
        <charset val="204"/>
      </rPr>
      <t>арт. 100 04 050 2</t>
    </r>
    <r>
      <rPr>
        <sz val="10"/>
        <color indexed="56"/>
        <rFont val="Century Gothic"/>
        <family val="2"/>
        <charset val="204"/>
      </rPr>
      <t xml:space="preserve"> </t>
    </r>
    <r>
      <rPr>
        <sz val="10"/>
        <rFont val="Century Gothic"/>
        <family val="2"/>
        <charset val="204"/>
      </rPr>
      <t>/</t>
    </r>
    <r>
      <rPr>
        <sz val="8"/>
        <rFont val="Century Gothic"/>
        <family val="2"/>
        <charset val="204"/>
      </rPr>
      <t>петротех/</t>
    </r>
  </si>
  <si>
    <r>
      <t xml:space="preserve">Опора балки раскрытая </t>
    </r>
    <r>
      <rPr>
        <sz val="10"/>
        <color indexed="10"/>
        <rFont val="Century Gothic"/>
        <family val="2"/>
        <charset val="204"/>
      </rPr>
      <t>25*140</t>
    </r>
    <r>
      <rPr>
        <sz val="10"/>
        <rFont val="Century Gothic"/>
        <family val="2"/>
        <charset val="204"/>
      </rPr>
      <t xml:space="preserve">мм - </t>
    </r>
    <r>
      <rPr>
        <sz val="10"/>
        <color indexed="56"/>
        <rFont val="Century Gothic"/>
        <family val="2"/>
        <charset val="204"/>
      </rPr>
      <t>арт. 000 04 140</t>
    </r>
    <r>
      <rPr>
        <sz val="10"/>
        <color indexed="56"/>
        <rFont val="Century Gothic"/>
        <family val="2"/>
        <charset val="204"/>
      </rPr>
      <t xml:space="preserve"> </t>
    </r>
    <r>
      <rPr>
        <sz val="8"/>
        <rFont val="Century Gothic"/>
        <family val="2"/>
        <charset val="204"/>
      </rPr>
      <t>/петротех/</t>
    </r>
  </si>
  <si>
    <t xml:space="preserve"> 50% правых 50% левых</t>
  </si>
  <si>
    <r>
      <t xml:space="preserve">Основание колонны  </t>
    </r>
    <r>
      <rPr>
        <sz val="10"/>
        <color indexed="10"/>
        <rFont val="Century Gothic"/>
        <family val="2"/>
        <charset val="204"/>
      </rPr>
      <t>200х200</t>
    </r>
    <r>
      <rPr>
        <sz val="10"/>
        <rFont val="Century Gothic"/>
        <family val="2"/>
        <charset val="204"/>
      </rPr>
      <t xml:space="preserve">мм - </t>
    </r>
    <r>
      <rPr>
        <sz val="9"/>
        <color indexed="56"/>
        <rFont val="Century Gothic"/>
        <family val="2"/>
        <charset val="204"/>
      </rPr>
      <t>арт. 600 06 100 200 0р*</t>
    </r>
    <r>
      <rPr>
        <sz val="10"/>
        <rFont val="Century Gothic"/>
        <family val="2"/>
        <charset val="204"/>
      </rPr>
      <t xml:space="preserve"> </t>
    </r>
    <r>
      <rPr>
        <sz val="8"/>
        <rFont val="Century Gothic"/>
        <family val="2"/>
        <charset val="204"/>
      </rPr>
      <t>/петротех/</t>
    </r>
  </si>
  <si>
    <r>
      <t xml:space="preserve">Саморезы оценкованые </t>
    </r>
    <r>
      <rPr>
        <sz val="10"/>
        <color indexed="10"/>
        <rFont val="Century Gothic"/>
        <family val="2"/>
        <charset val="204"/>
      </rPr>
      <t>4*50</t>
    </r>
  </si>
  <si>
    <t>Гидроизоляция рулонная</t>
  </si>
  <si>
    <t>гидроиз. брусовых</t>
  </si>
  <si>
    <t>Политерм</t>
  </si>
  <si>
    <r>
      <t xml:space="preserve"> по длине бруса - </t>
    </r>
    <r>
      <rPr>
        <sz val="9"/>
        <color indexed="10"/>
        <rFont val="Century Gothic"/>
        <family val="2"/>
        <charset val="204"/>
      </rPr>
      <t>80</t>
    </r>
    <r>
      <rPr>
        <sz val="9"/>
        <rFont val="Century Gothic"/>
        <family val="2"/>
        <charset val="204"/>
      </rPr>
      <t>мм</t>
    </r>
  </si>
  <si>
    <r>
      <rPr>
        <b/>
        <sz val="12"/>
        <rFont val="Century Gothic"/>
        <family val="2"/>
        <charset val="204"/>
      </rPr>
      <t>160 -</t>
    </r>
    <r>
      <rPr>
        <sz val="12"/>
        <rFont val="Century Gothic"/>
        <family val="2"/>
        <charset val="204"/>
      </rPr>
      <t xml:space="preserve"> </t>
    </r>
    <r>
      <rPr>
        <b/>
        <sz val="12"/>
        <color indexed="10"/>
        <rFont val="Century Gothic"/>
        <family val="2"/>
        <charset val="204"/>
      </rPr>
      <t>60мм</t>
    </r>
    <r>
      <rPr>
        <sz val="12"/>
        <rFont val="Century Gothic"/>
        <family val="2"/>
        <charset val="204"/>
      </rPr>
      <t xml:space="preserve">;    </t>
    </r>
    <r>
      <rPr>
        <b/>
        <sz val="12"/>
        <rFont val="Century Gothic"/>
        <family val="2"/>
        <charset val="204"/>
      </rPr>
      <t xml:space="preserve">200 - </t>
    </r>
    <r>
      <rPr>
        <b/>
        <sz val="12"/>
        <color indexed="10"/>
        <rFont val="Century Gothic"/>
        <family val="2"/>
        <charset val="204"/>
      </rPr>
      <t>80мм</t>
    </r>
    <r>
      <rPr>
        <b/>
        <sz val="12"/>
        <color indexed="8"/>
        <rFont val="Century Gothic"/>
        <family val="2"/>
        <charset val="204"/>
      </rPr>
      <t>;</t>
    </r>
    <r>
      <rPr>
        <b/>
        <sz val="12"/>
        <color indexed="10"/>
        <rFont val="Century Gothic"/>
        <family val="2"/>
        <charset val="204"/>
      </rPr>
      <t xml:space="preserve">    </t>
    </r>
    <r>
      <rPr>
        <b/>
        <sz val="12"/>
        <color indexed="8"/>
        <rFont val="Century Gothic"/>
        <family val="2"/>
        <charset val="204"/>
      </rPr>
      <t xml:space="preserve">240 - </t>
    </r>
    <r>
      <rPr>
        <b/>
        <sz val="12"/>
        <color indexed="10"/>
        <rFont val="Century Gothic"/>
        <family val="2"/>
        <charset val="204"/>
      </rPr>
      <t>120мм</t>
    </r>
    <r>
      <rPr>
        <b/>
        <sz val="12"/>
        <color indexed="8"/>
        <rFont val="Century Gothic"/>
        <family val="2"/>
        <charset val="204"/>
      </rPr>
      <t>;</t>
    </r>
    <r>
      <rPr>
        <b/>
        <sz val="12"/>
        <color indexed="10"/>
        <rFont val="Century Gothic"/>
        <family val="2"/>
        <charset val="204"/>
      </rPr>
      <t xml:space="preserve"> </t>
    </r>
  </si>
  <si>
    <r>
      <t xml:space="preserve">в перерубы - </t>
    </r>
    <r>
      <rPr>
        <sz val="9"/>
        <color indexed="10"/>
        <rFont val="Century Gothic"/>
        <family val="2"/>
        <charset val="204"/>
      </rPr>
      <t>100</t>
    </r>
    <r>
      <rPr>
        <sz val="9"/>
        <rFont val="Century Gothic"/>
        <family val="2"/>
        <charset val="204"/>
      </rPr>
      <t>мм</t>
    </r>
  </si>
  <si>
    <r>
      <t xml:space="preserve">в обсаду - </t>
    </r>
    <r>
      <rPr>
        <sz val="9"/>
        <color indexed="10"/>
        <rFont val="Century Gothic"/>
        <family val="2"/>
        <charset val="204"/>
      </rPr>
      <t>250</t>
    </r>
    <r>
      <rPr>
        <sz val="9"/>
        <rFont val="Century Gothic"/>
        <family val="2"/>
        <charset val="204"/>
      </rPr>
      <t>мм</t>
    </r>
  </si>
  <si>
    <t>Основание колонны Rothoblaas TYPXS101212</t>
  </si>
  <si>
    <r>
      <t xml:space="preserve">Шпилька металлическая </t>
    </r>
    <r>
      <rPr>
        <sz val="10"/>
        <color indexed="10"/>
        <rFont val="Century Gothic"/>
        <family val="2"/>
        <charset val="204"/>
      </rPr>
      <t>d=20</t>
    </r>
    <r>
      <rPr>
        <sz val="10"/>
        <rFont val="Century Gothic"/>
        <family val="2"/>
        <charset val="204"/>
      </rPr>
      <t>мм, L=2000мм</t>
    </r>
  </si>
  <si>
    <t>крепление доски к фундаменту</t>
  </si>
  <si>
    <r>
      <t xml:space="preserve">Анкер клиновой </t>
    </r>
    <r>
      <rPr>
        <sz val="10"/>
        <color indexed="10"/>
        <rFont val="Century Gothic"/>
        <family val="2"/>
        <charset val="204"/>
      </rPr>
      <t xml:space="preserve">12/148 </t>
    </r>
    <r>
      <rPr>
        <sz val="10"/>
        <rFont val="Century Gothic"/>
        <family val="2"/>
        <charset val="204"/>
      </rPr>
      <t>Rothoblaas AB1 FE210445</t>
    </r>
  </si>
  <si>
    <r>
      <t xml:space="preserve">Анкер клиновой </t>
    </r>
    <r>
      <rPr>
        <sz val="10"/>
        <color indexed="10"/>
        <rFont val="Century Gothic"/>
        <family val="2"/>
        <charset val="204"/>
      </rPr>
      <t xml:space="preserve">12/163 </t>
    </r>
    <r>
      <rPr>
        <sz val="10"/>
        <rFont val="Century Gothic"/>
        <family val="2"/>
        <charset val="204"/>
      </rPr>
      <t>Rothoblaas AB1 Al12163A4</t>
    </r>
  </si>
  <si>
    <r>
      <rPr>
        <sz val="9"/>
        <rFont val="Century Gothic"/>
        <family val="2"/>
        <charset val="204"/>
      </rPr>
      <t xml:space="preserve">Сантехнический саморез </t>
    </r>
    <r>
      <rPr>
        <sz val="9"/>
        <color indexed="10"/>
        <rFont val="Century Gothic"/>
        <family val="2"/>
        <charset val="204"/>
      </rPr>
      <t>6*70</t>
    </r>
    <r>
      <rPr>
        <sz val="10"/>
        <rFont val="Century Gothic"/>
        <family val="2"/>
        <charset val="204"/>
      </rPr>
      <t xml:space="preserve">      DIN571</t>
    </r>
  </si>
  <si>
    <r>
      <t xml:space="preserve">Шуруп </t>
    </r>
    <r>
      <rPr>
        <sz val="9"/>
        <color indexed="10"/>
        <rFont val="Century Gothic"/>
        <family val="2"/>
        <charset val="204"/>
      </rPr>
      <t>10*260</t>
    </r>
    <r>
      <rPr>
        <sz val="9"/>
        <rFont val="Century Gothic"/>
        <family val="2"/>
        <charset val="204"/>
      </rPr>
      <t xml:space="preserve">  Rothoblaas TBS10260</t>
    </r>
  </si>
  <si>
    <r>
      <rPr>
        <sz val="10"/>
        <rFont val="Century Gothic"/>
        <family val="2"/>
        <charset val="204"/>
      </rPr>
      <t xml:space="preserve">Шайба  </t>
    </r>
    <r>
      <rPr>
        <sz val="10"/>
        <color indexed="10"/>
        <rFont val="Century Gothic"/>
        <family val="2"/>
        <charset val="204"/>
      </rPr>
      <t>М12</t>
    </r>
    <r>
      <rPr>
        <sz val="10"/>
        <rFont val="Century Gothic"/>
        <family val="2"/>
        <charset val="204"/>
      </rPr>
      <t xml:space="preserve"> </t>
    </r>
    <r>
      <rPr>
        <sz val="9"/>
        <rFont val="Century Gothic"/>
        <family val="2"/>
        <charset val="204"/>
      </rPr>
      <t xml:space="preserve">      DIN9021</t>
    </r>
  </si>
  <si>
    <r>
      <t>Шпилька самонарезная</t>
    </r>
    <r>
      <rPr>
        <sz val="9"/>
        <color indexed="10"/>
        <rFont val="Century Gothic"/>
        <family val="2"/>
        <charset val="204"/>
      </rPr>
      <t xml:space="preserve"> 7*113</t>
    </r>
    <r>
      <rPr>
        <sz val="9"/>
        <rFont val="Century Gothic"/>
        <family val="2"/>
        <charset val="204"/>
      </rPr>
      <t xml:space="preserve">                         Rothoblaas WS CS100240</t>
    </r>
  </si>
  <si>
    <t>уголки/скользящия опора</t>
  </si>
  <si>
    <t>!!! данные указаны без запаса !!!</t>
  </si>
  <si>
    <t>Итого:</t>
  </si>
  <si>
    <t>Примечание</t>
  </si>
  <si>
    <t>перекрытие межэтажное</t>
  </si>
  <si>
    <t>Кол-во</t>
  </si>
  <si>
    <t>Клееные лаги</t>
  </si>
  <si>
    <t>Себестоимость, руб.</t>
  </si>
  <si>
    <t>Наценка</t>
  </si>
  <si>
    <t>Стоимость, руб.</t>
  </si>
  <si>
    <t>за ед.</t>
  </si>
  <si>
    <t>сумма</t>
  </si>
  <si>
    <t>1. ФУНДАМЕНТ ж/б плита 200 мм с ростверком 200х200</t>
  </si>
  <si>
    <t>Площадь котлована</t>
  </si>
  <si>
    <r>
      <t>м</t>
    </r>
    <r>
      <rPr>
        <sz val="10"/>
        <rFont val="Arial"/>
        <family val="2"/>
        <charset val="204"/>
      </rPr>
      <t>²</t>
    </r>
  </si>
  <si>
    <t>Глубина котлована</t>
  </si>
  <si>
    <t>м</t>
  </si>
  <si>
    <t>Площадь плиты</t>
  </si>
  <si>
    <t>Длина ростверка 200х200</t>
  </si>
  <si>
    <t>Длина ростверка 150х200</t>
  </si>
  <si>
    <t>Сваи</t>
  </si>
  <si>
    <t>Работы</t>
  </si>
  <si>
    <t>Разработка чертежей марки КЖ</t>
  </si>
  <si>
    <t>Геодезические работы</t>
  </si>
  <si>
    <t>смен</t>
  </si>
  <si>
    <t>Укладка геотекстиля</t>
  </si>
  <si>
    <t>Обратная засыпка песка с послойной трамбовкой</t>
  </si>
  <si>
    <t>м³</t>
  </si>
  <si>
    <t>Обратная засыпка щебня 100 мм</t>
  </si>
  <si>
    <t>Монтаж закладных труб</t>
  </si>
  <si>
    <t>Укладка плантера</t>
  </si>
  <si>
    <t>Монтаж опалубки</t>
  </si>
  <si>
    <t>Вязка арматуры</t>
  </si>
  <si>
    <t>т</t>
  </si>
  <si>
    <t>Залика бетона</t>
  </si>
  <si>
    <t>Монтаж винтовых свай</t>
  </si>
  <si>
    <t>Материалы</t>
  </si>
  <si>
    <t>Геотекстиль, 50 м²</t>
  </si>
  <si>
    <t>рул</t>
  </si>
  <si>
    <t>Песок карьерный</t>
  </si>
  <si>
    <t>Щебень</t>
  </si>
  <si>
    <t>Закладные трубы</t>
  </si>
  <si>
    <t>компл</t>
  </si>
  <si>
    <t>Профилированная мембрана PLANTER eco 2х20 м высота шипа 8 мм</t>
  </si>
  <si>
    <t>Материалы для опалубки (доска, крепеж)</t>
  </si>
  <si>
    <t>Арматура Ø12  А3</t>
  </si>
  <si>
    <t>Арматура Ø8  А1</t>
  </si>
  <si>
    <t>Фиксаторы арматуры, 500 шт</t>
  </si>
  <si>
    <t>Проволока вязальная, кг</t>
  </si>
  <si>
    <t>Бетон М350</t>
  </si>
  <si>
    <t xml:space="preserve">Винтовая свая </t>
  </si>
  <si>
    <t>Крепеж и расходные материалы</t>
  </si>
  <si>
    <t>Прочие расходы</t>
  </si>
  <si>
    <t>Аренда экскаватора</t>
  </si>
  <si>
    <t>м/см</t>
  </si>
  <si>
    <t>кол-во дней по факту</t>
  </si>
  <si>
    <t>Аренда гусеничного экскаватора</t>
  </si>
  <si>
    <t>Доставка траллом</t>
  </si>
  <si>
    <t>маш</t>
  </si>
  <si>
    <t>доставка по факту</t>
  </si>
  <si>
    <t>Аренда виброплиты</t>
  </si>
  <si>
    <t>сутки</t>
  </si>
  <si>
    <t>Аренда бетононасоса</t>
  </si>
  <si>
    <t>Геодеция участка</t>
  </si>
  <si>
    <t>услуга</t>
  </si>
  <si>
    <t>при необходимости</t>
  </si>
  <si>
    <t>Геологические изыская</t>
  </si>
  <si>
    <t>Накладные расходы, плановые накомпления</t>
  </si>
  <si>
    <t>%</t>
  </si>
  <si>
    <t>Транспортные расходы</t>
  </si>
  <si>
    <t>ИТОГО фундамент:</t>
  </si>
  <si>
    <t>2. ДОМОКОМПЛЕКТ</t>
  </si>
  <si>
    <t>Разработка чертежей марки КД</t>
  </si>
  <si>
    <t>Монтаж подкладной доски</t>
  </si>
  <si>
    <t>Монтаж обвязочного бруса</t>
  </si>
  <si>
    <t>Сборка стенового комплекта</t>
  </si>
  <si>
    <t>Монтаж балок перекрытий, террас, балконов</t>
  </si>
  <si>
    <t>Монтаж стропильной системы</t>
  </si>
  <si>
    <t>Монтаж чернового пола</t>
  </si>
  <si>
    <t>Монтаж каркасных перегородок</t>
  </si>
  <si>
    <t>Монтаж обсадных коробок</t>
  </si>
  <si>
    <t>Монтаж временной лестницы</t>
  </si>
  <si>
    <t>Монтаж лесов</t>
  </si>
  <si>
    <t>Отсечная гидроизоляция Технониколь 0,4x20 м</t>
  </si>
  <si>
    <t>Доска лиственница 50х200</t>
  </si>
  <si>
    <t>Утеплитель по подкладной доске 160 мм Политерм</t>
  </si>
  <si>
    <t>Нагель квадратный 24х24</t>
  </si>
  <si>
    <t>Столбы клееные</t>
  </si>
  <si>
    <t>Доска 45х145 сух. строг.</t>
  </si>
  <si>
    <t>терраса</t>
  </si>
  <si>
    <t>Доска 45х195 сух. строг.</t>
  </si>
  <si>
    <t>Клееные балки</t>
  </si>
  <si>
    <t>чердак</t>
  </si>
  <si>
    <t>Клееные стропила 80х200</t>
  </si>
  <si>
    <t>Доска 20х120 сух. строг.</t>
  </si>
  <si>
    <t>черновой пол</t>
  </si>
  <si>
    <t>Утеплитель 250 мм Политерм</t>
  </si>
  <si>
    <t>обсады</t>
  </si>
  <si>
    <t>Брусок 45х45 сух. строг.</t>
  </si>
  <si>
    <t>Антисептирование пиломатериалов</t>
  </si>
  <si>
    <t>Комплект лесов</t>
  </si>
  <si>
    <t>Аренда автокрана</t>
  </si>
  <si>
    <t>ИТОГО домокомплект:</t>
  </si>
  <si>
    <t>3. КРОВЛЯ</t>
  </si>
  <si>
    <t>Монтаж ветрозащитной мембраны</t>
  </si>
  <si>
    <t>Монтаж конртобрешетки</t>
  </si>
  <si>
    <t>Монтаж обрешетки</t>
  </si>
  <si>
    <t>Монтаж ОСБ</t>
  </si>
  <si>
    <t>Монтаж подкладочного ковра</t>
  </si>
  <si>
    <t>Монтаж мягкой кровли</t>
  </si>
  <si>
    <t>Монтаж ЦПЧ</t>
  </si>
  <si>
    <t>Монтаж металлочерепицы</t>
  </si>
  <si>
    <t>Монтаж фальцевой кровли</t>
  </si>
  <si>
    <t>Монтаж конька</t>
  </si>
  <si>
    <t>Монтаж ендов</t>
  </si>
  <si>
    <t>Монтаж торцевых и карнизных планок</t>
  </si>
  <si>
    <t>Монтаж пристенных планок</t>
  </si>
  <si>
    <t>Установка снегозадержателей</t>
  </si>
  <si>
    <t>Установка мансардного окна</t>
  </si>
  <si>
    <t>Монтаж вентвыходов</t>
  </si>
  <si>
    <t>по факту</t>
  </si>
  <si>
    <t>Утепление чердака 250 мм</t>
  </si>
  <si>
    <t>Монтаж бруска допутепления</t>
  </si>
  <si>
    <t>Монтаж пароизоляции с проклейкой швов</t>
  </si>
  <si>
    <t>Монтаж москитной сетки</t>
  </si>
  <si>
    <t>Грунтовка ветровой доски с 4-х сторон</t>
  </si>
  <si>
    <t>Покраска ветровой доски (2 слоя)</t>
  </si>
  <si>
    <t>Монтаж ветровой и карнизной доски</t>
  </si>
  <si>
    <t>Грунтовка подшивной доски</t>
  </si>
  <si>
    <t>Покраска подшивной доски (2 слоя)</t>
  </si>
  <si>
    <t>Монтаж подшивной доски</t>
  </si>
  <si>
    <t>Монтаж желобов</t>
  </si>
  <si>
    <t>Монтаж водосточных труб</t>
  </si>
  <si>
    <t>Брусок сух.строг. 45х45</t>
  </si>
  <si>
    <t>контробрешетка</t>
  </si>
  <si>
    <t>подшивка свесов</t>
  </si>
  <si>
    <t>ветровая доска</t>
  </si>
  <si>
    <t>Брусок 45х45 сух.строг.</t>
  </si>
  <si>
    <t>доп. утепление</t>
  </si>
  <si>
    <t>обрешетка отделка</t>
  </si>
  <si>
    <t>осб-12</t>
  </si>
  <si>
    <t>ориентировочно 890 м2</t>
  </si>
  <si>
    <t>Москитная сетка (1х50м), ячейка 1,4мм</t>
  </si>
  <si>
    <t>Окно мансардное 78х1180 VeluxGZR MR06 3061B с окладом и комплектами пароизоляции и гидро-теплоизоляции</t>
  </si>
  <si>
    <t xml:space="preserve">Пленка влаговетрозащитная Delta-Vent S </t>
  </si>
  <si>
    <t>базальтовый утеплитель Paroc 250 мм</t>
  </si>
  <si>
    <t xml:space="preserve">Пленка пароизоляционная Delta-Dawi GP </t>
  </si>
  <si>
    <t>Скотч Delta-Multi-Band M60</t>
  </si>
  <si>
    <t>Лента гидроизоляционная  10 м х 30 см</t>
  </si>
  <si>
    <t>Лента гидроизоляционная  30 м х 6 см</t>
  </si>
  <si>
    <t>Грунт Teknos</t>
  </si>
  <si>
    <t>л</t>
  </si>
  <si>
    <t>Краска Teknos</t>
  </si>
  <si>
    <t>Водосточная система пластиковая</t>
  </si>
  <si>
    <t xml:space="preserve">Крепеж метизы </t>
  </si>
  <si>
    <t>ИТОГО кровля:</t>
  </si>
  <si>
    <t>4. ОКНА</t>
  </si>
  <si>
    <t>Установка окон и балконных дверей пластиковых</t>
  </si>
  <si>
    <t>Установка окон и балконных дверей деревянных</t>
  </si>
  <si>
    <t>Обработка оконных проемов стизом</t>
  </si>
  <si>
    <t>Установка оконных отливов</t>
  </si>
  <si>
    <t>Монтаж временной двери</t>
  </si>
  <si>
    <t>Окна и балконные металлопластиковые Veko SoftLine, цвет белый/белый</t>
  </si>
  <si>
    <t>ориентировочно</t>
  </si>
  <si>
    <t>Герметик Стиз А, 7кг</t>
  </si>
  <si>
    <t>уп</t>
  </si>
  <si>
    <t>Монтажная пена</t>
  </si>
  <si>
    <t xml:space="preserve">Дверь входная техническая Е40М 960х2050 мм </t>
  </si>
  <si>
    <t>ИТОГО окна:</t>
  </si>
  <si>
    <t>5. НАРУЖНАЯ ОТДЕЛКА</t>
  </si>
  <si>
    <t>Шлифовка торцов</t>
  </si>
  <si>
    <t>Покрытие торцов защитным составом</t>
  </si>
  <si>
    <t>Покраска торцов 1-й слой</t>
  </si>
  <si>
    <t>Межслойная шлифовка торцов</t>
  </si>
  <si>
    <t>Покраска торцов 2-й слой</t>
  </si>
  <si>
    <t>Шлифовка стен</t>
  </si>
  <si>
    <t>Грунтование стен</t>
  </si>
  <si>
    <t>Покраска стен (1-й слой)</t>
  </si>
  <si>
    <t>Покраска стен (2-й слой)</t>
  </si>
  <si>
    <t>Монтаж доборного бруска на окна с покраской</t>
  </si>
  <si>
    <t>Монтаж наличников с покраской</t>
  </si>
  <si>
    <t>Шлифовальные диски Mirka на сетчатой основе</t>
  </si>
  <si>
    <t>Защита торцов от трещин Teknos Teknol JRM</t>
  </si>
  <si>
    <t>фасад</t>
  </si>
  <si>
    <t>наличники</t>
  </si>
  <si>
    <t>Краска Teknos (фасад)</t>
  </si>
  <si>
    <t>ИТОГО НАРУЖНАЯ ОТДЕЛКА:</t>
  </si>
  <si>
    <t xml:space="preserve"> </t>
  </si>
  <si>
    <t>Аренда бытовки</t>
  </si>
  <si>
    <t>мес</t>
  </si>
  <si>
    <t>Доставка и вывоз бытовки</t>
  </si>
  <si>
    <t>Аренда биотуалета + обслуживание</t>
  </si>
  <si>
    <t>Себестоимость работ</t>
  </si>
  <si>
    <t>ИТОГО сметная стоимость:</t>
  </si>
  <si>
    <t>Стоимость работ</t>
  </si>
  <si>
    <t>Монтаж ЦПЧ с доборными элементами</t>
  </si>
  <si>
    <t>Утепление кровли 250 мм</t>
  </si>
  <si>
    <t>Монтаж пароизоляции</t>
  </si>
  <si>
    <t>Монтаж ветровой доски</t>
  </si>
  <si>
    <t>ИТОГО работы:</t>
  </si>
  <si>
    <t>Доска лиственница 50х150</t>
  </si>
  <si>
    <t>Доска лиственница 50х200/150</t>
  </si>
  <si>
    <r>
      <t>Брус клееный 205</t>
    </r>
    <r>
      <rPr>
        <b/>
        <sz val="8"/>
        <rFont val="Calibri"/>
        <family val="2"/>
        <charset val="204"/>
      </rPr>
      <t>х280(П-образный)</t>
    </r>
  </si>
  <si>
    <r>
      <t>Брус клееный 205</t>
    </r>
    <r>
      <rPr>
        <b/>
        <sz val="8"/>
        <rFont val="Calibri"/>
        <family val="2"/>
        <charset val="204"/>
      </rPr>
      <t>х230(Ш-образный)</t>
    </r>
  </si>
  <si>
    <r>
      <t>Брус клееный 160</t>
    </r>
    <r>
      <rPr>
        <b/>
        <sz val="8"/>
        <rFont val="Calibri"/>
        <family val="2"/>
        <charset val="204"/>
      </rPr>
      <t>х280(Ш-образный)</t>
    </r>
  </si>
  <si>
    <r>
      <t>Брус клееный 180</t>
    </r>
    <r>
      <rPr>
        <b/>
        <sz val="8"/>
        <rFont val="Calibri"/>
        <family val="2"/>
        <charset val="204"/>
      </rPr>
      <t>х230(Ш-образный)</t>
    </r>
  </si>
  <si>
    <r>
      <t>Брус клееный 235</t>
    </r>
    <r>
      <rPr>
        <b/>
        <sz val="8"/>
        <rFont val="Calibri"/>
        <family val="2"/>
        <charset val="204"/>
      </rPr>
      <t>х230(П-образный)</t>
    </r>
  </si>
  <si>
    <r>
      <t>Брус клееный 235</t>
    </r>
    <r>
      <rPr>
        <b/>
        <sz val="8"/>
        <rFont val="Calibri"/>
        <family val="2"/>
        <charset val="204"/>
      </rPr>
      <t>х280(П-образный)</t>
    </r>
  </si>
  <si>
    <r>
      <t>Брус клееный 160</t>
    </r>
    <r>
      <rPr>
        <b/>
        <sz val="8"/>
        <rFont val="Calibri"/>
        <family val="2"/>
        <charset val="204"/>
      </rPr>
      <t>х230 (П-образный)</t>
    </r>
  </si>
  <si>
    <r>
      <t>Брус клееный 205</t>
    </r>
    <r>
      <rPr>
        <b/>
        <sz val="8"/>
        <rFont val="Calibri"/>
        <family val="2"/>
        <charset val="204"/>
      </rPr>
      <t>х230(П-образный)</t>
    </r>
  </si>
  <si>
    <r>
      <t>Брус клееный 160</t>
    </r>
    <r>
      <rPr>
        <b/>
        <sz val="8"/>
        <rFont val="Calibri"/>
        <family val="2"/>
        <charset val="204"/>
      </rPr>
      <t>х230(Ш-образный)</t>
    </r>
  </si>
  <si>
    <r>
      <t>Брус клееный 235</t>
    </r>
    <r>
      <rPr>
        <b/>
        <sz val="8"/>
        <rFont val="Calibri"/>
        <family val="2"/>
        <charset val="204"/>
      </rPr>
      <t>х230(Ш-образный)</t>
    </r>
  </si>
  <si>
    <r>
      <t>Брус клееный 125</t>
    </r>
    <r>
      <rPr>
        <b/>
        <sz val="8"/>
        <rFont val="Calibri"/>
        <family val="2"/>
        <charset val="204"/>
      </rPr>
      <t>х230(Ш-образный)</t>
    </r>
  </si>
  <si>
    <t>Брус клееный 160х230 (П-образный)</t>
  </si>
  <si>
    <r>
      <t>Брус клееный 160</t>
    </r>
    <r>
      <rPr>
        <b/>
        <sz val="8"/>
        <rFont val="Calibri"/>
        <family val="2"/>
        <charset val="204"/>
      </rPr>
      <t>х280 (П-образный)</t>
    </r>
  </si>
  <si>
    <r>
      <t>Брус клееный 205</t>
    </r>
    <r>
      <rPr>
        <b/>
        <sz val="8"/>
        <rFont val="Calibri"/>
        <family val="2"/>
        <charset val="204"/>
      </rPr>
      <t>х280(Ш-образный)</t>
    </r>
  </si>
  <si>
    <r>
      <t>Брус клееный 235</t>
    </r>
    <r>
      <rPr>
        <b/>
        <sz val="8"/>
        <rFont val="Calibri"/>
        <family val="2"/>
        <charset val="204"/>
      </rPr>
      <t>х280(Ш-образный)</t>
    </r>
  </si>
  <si>
    <r>
      <t>Брус клееный 180</t>
    </r>
    <r>
      <rPr>
        <b/>
        <sz val="8"/>
        <rFont val="Calibri"/>
        <family val="2"/>
        <charset val="204"/>
      </rPr>
      <t>х280(Ш-образный)</t>
    </r>
  </si>
  <si>
    <t>Брус клееный 205х230(П-образный)</t>
  </si>
  <si>
    <t>Брус клееный 205х230(Ш-образный)</t>
  </si>
  <si>
    <t>Утеплитель Псул</t>
  </si>
  <si>
    <t>Утеплитель в чаши Политерм</t>
  </si>
  <si>
    <t>Межвенцовый утелитель  Политерм</t>
  </si>
  <si>
    <t>Доска 45х95 сух. строг.</t>
  </si>
  <si>
    <t>цоколь</t>
  </si>
  <si>
    <t>каркас наружних стен</t>
  </si>
  <si>
    <t>каркас внутренних стен</t>
  </si>
  <si>
    <t>Монтаж каркасных перегородок наружних</t>
  </si>
  <si>
    <t>Монтаж каркасных перегородок внутренних</t>
  </si>
  <si>
    <t>горизонтальные свесы</t>
  </si>
  <si>
    <t>Монтаж наплавляемоем кровли (1 слой)</t>
  </si>
  <si>
    <t>доп.Гидроизоляция</t>
  </si>
  <si>
    <t>Монтаж обрешетки под отделку</t>
  </si>
  <si>
    <t>обрешетка ЦПЧ</t>
  </si>
  <si>
    <t>обрешетка металл, мягкая</t>
  </si>
  <si>
    <t>Брусок сух.строг. 45х50</t>
  </si>
  <si>
    <t>обрешетка доп гидроизоляции</t>
  </si>
  <si>
    <t>контробрешетка доп. Гидроизоляции</t>
  </si>
  <si>
    <t>ЦПЧ</t>
  </si>
  <si>
    <t>Клик-Фальц</t>
  </si>
  <si>
    <t>Металлическая кровля</t>
  </si>
  <si>
    <t>белые</t>
  </si>
  <si>
    <t>с ламин.(1 сторона)</t>
  </si>
  <si>
    <t>с ламин.(2 стороны)</t>
  </si>
  <si>
    <t>деревянные</t>
  </si>
  <si>
    <t>двухскатная</t>
  </si>
  <si>
    <t>с ендовыми</t>
  </si>
  <si>
    <t>плоская кровля</t>
  </si>
  <si>
    <t>Монтаж наплавляемоем кровли (2 слоя)</t>
  </si>
  <si>
    <t>Наплавляевамя кровля (1 слой)</t>
  </si>
  <si>
    <t>Наплавляевамя кровля (2 слоя)</t>
  </si>
  <si>
    <t>метал</t>
  </si>
  <si>
    <t>пластик</t>
  </si>
  <si>
    <t>желоб</t>
  </si>
  <si>
    <t>водост. трубы</t>
  </si>
  <si>
    <t xml:space="preserve"> - выбрать из списка</t>
  </si>
  <si>
    <t xml:space="preserve"> - значения из комплектовочной</t>
  </si>
  <si>
    <t xml:space="preserve"> - высчитыватся по формулам</t>
  </si>
  <si>
    <t xml:space="preserve"> - внести значения или изменить</t>
  </si>
  <si>
    <t>базальтовый утеплитель Paroc 100 мм в проемы</t>
  </si>
  <si>
    <t>Утепление наружнего каркаса</t>
  </si>
  <si>
    <t>кровля/чердак</t>
  </si>
  <si>
    <t>каркас наружний</t>
  </si>
  <si>
    <t>Монтаж обрешетки под ОСБ (доп. гидроизоляция)</t>
  </si>
  <si>
    <t>обрешетка композитная</t>
  </si>
  <si>
    <t>при устройстве утеплеенной кровли</t>
  </si>
  <si>
    <t>Монтаж пароизоляции с проклейкой швов по наружнему каркасу</t>
  </si>
  <si>
    <t>Монтаж ветрозащитной мембраны по наружнему каркасу</t>
  </si>
  <si>
    <t>Наружний каркас</t>
  </si>
  <si>
    <t>Монтаж имитатора бруса</t>
  </si>
  <si>
    <t>Доска сух. строг. 28х146 наличник</t>
  </si>
  <si>
    <t>Доска сух. строг. 28х196 наличник</t>
  </si>
  <si>
    <t>Брус клееный 160х280(Ш-образный)</t>
  </si>
  <si>
    <t>фундамент</t>
  </si>
  <si>
    <t>домокомплект</t>
  </si>
  <si>
    <t>окна</t>
  </si>
  <si>
    <t>Наружняя отделка</t>
  </si>
  <si>
    <t>за м3 - 18000</t>
  </si>
  <si>
    <t>за м3 - 21500</t>
  </si>
  <si>
    <t>нет для типовых</t>
  </si>
  <si>
    <t>пластиковые</t>
  </si>
  <si>
    <t>ориентировочная стоимость монтажа</t>
  </si>
  <si>
    <t>ориентировочная стоимость изделий</t>
  </si>
  <si>
    <t>Окна и балконные двери деревянные</t>
  </si>
  <si>
    <t>Окна и балконные двери металлопластиковые Veko SoftLine, цвет белый/белый</t>
  </si>
  <si>
    <t>Окна и балконные двери с односторонней ламинацией</t>
  </si>
  <si>
    <t>Окна и балконные двери с двухсторонней ламинацией</t>
  </si>
  <si>
    <t>Клееные балки нестандартного сечения</t>
  </si>
  <si>
    <t>Клееные стропила нестандартного сечения</t>
  </si>
  <si>
    <t>Столбы клееные сечение не стандартное</t>
  </si>
  <si>
    <t>Длина ростверка 250х400</t>
  </si>
  <si>
    <t>Итого работы:</t>
  </si>
  <si>
    <t>Итого материалы:</t>
  </si>
  <si>
    <t>Монтаж силового каркаса внешних стен</t>
  </si>
  <si>
    <t>каркасный дом</t>
  </si>
  <si>
    <t>Монтаж обрешетки под внешнюю обшивку каркасных стен</t>
  </si>
  <si>
    <t>Доска для обрешетки 45х25</t>
  </si>
  <si>
    <t xml:space="preserve">Цена </t>
  </si>
  <si>
    <t>Стоимость</t>
  </si>
  <si>
    <t xml:space="preserve">Фундамент </t>
  </si>
  <si>
    <t>комп</t>
  </si>
  <si>
    <t>кратно</t>
  </si>
  <si>
    <t>Проволока вязальная, 5кг</t>
  </si>
  <si>
    <t>Стены, Перегородки, Перекрытия</t>
  </si>
  <si>
    <t>кратно 6 м</t>
  </si>
  <si>
    <t>Утелитель  Политерм</t>
  </si>
  <si>
    <t>Corovin ветроизоляционная мембрана с предельной паропроницаемостью 75м</t>
  </si>
  <si>
    <t>Corotop Active Control активная пароизоляционная мембрана, 75 м</t>
  </si>
  <si>
    <t>Coromix Лента гидроизоляционная, 25х50м</t>
  </si>
  <si>
    <t>Кровля</t>
  </si>
  <si>
    <t>индивидуальный запрос</t>
  </si>
  <si>
    <t xml:space="preserve">Крепеж и расходные материалы </t>
  </si>
  <si>
    <t>Окна, двери</t>
  </si>
  <si>
    <t xml:space="preserve">1шт на 2 окна </t>
  </si>
  <si>
    <t>Водоотливы 1500мм</t>
  </si>
  <si>
    <t xml:space="preserve">Защита торцов от трещин Teknos Teknol JRM, </t>
  </si>
  <si>
    <t>Teknos TEKNOL AQUA 1410-01 антисептирующий грунт</t>
  </si>
  <si>
    <t>смена</t>
  </si>
  <si>
    <t>Монтаж свай</t>
  </si>
  <si>
    <t>м.п</t>
  </si>
  <si>
    <t>Сборка стенового комплекта из клееного бруса</t>
  </si>
  <si>
    <t>Устройство каркасных стен (каркас, паро-, ветрозащита, утепление 200мм, обрешетка под внеш. отделку, обшика имитатором бруса)</t>
  </si>
  <si>
    <t>Монтаж ЦПЧ с доборными и фасонными элементами</t>
  </si>
  <si>
    <t>Монтаж Металлочерепицы с доборными и фасонными элементами</t>
  </si>
  <si>
    <t>Установка снегодержателей</t>
  </si>
  <si>
    <t>Покрытие торцов защитным составом с покраской</t>
  </si>
  <si>
    <t>Покраска стен (2 слоя)</t>
  </si>
  <si>
    <t>Аренда лесов</t>
  </si>
  <si>
    <t>Аренда опалубки</t>
  </si>
  <si>
    <t>мес.</t>
  </si>
  <si>
    <t>Итого прочие расходы:</t>
  </si>
  <si>
    <t>ИТОГО СМЕТНАЯ СТОИМОСТЬ:</t>
  </si>
  <si>
    <t>Работа:</t>
  </si>
  <si>
    <t>Материал:</t>
  </si>
  <si>
    <t>Итого фундамент:</t>
  </si>
  <si>
    <t xml:space="preserve">Монтаж балок межэтажного перекрытия </t>
  </si>
  <si>
    <t>Монтаж чернового пола на 2 эт</t>
  </si>
  <si>
    <t>Итого стены, перегородки, перекрытия:</t>
  </si>
  <si>
    <t>Монтаж ветровых и карнизных планок</t>
  </si>
  <si>
    <t>Монтажж мансардного окна</t>
  </si>
  <si>
    <t>Снегодержатели</t>
  </si>
  <si>
    <t>Итого кровля:</t>
  </si>
  <si>
    <t>Итого окна, двери:</t>
  </si>
  <si>
    <t>Итого наружняя отделка:</t>
  </si>
  <si>
    <t>Итого РАБОТЫ:</t>
  </si>
  <si>
    <t>Итого МАТЕРИАЛЫ:</t>
  </si>
  <si>
    <t>стоимость 1 м2 по полу</t>
  </si>
  <si>
    <t>без внутр каркаса, без чернового пола</t>
  </si>
  <si>
    <t>р</t>
  </si>
  <si>
    <t>600р/м2</t>
  </si>
  <si>
    <t>1800р/м2</t>
  </si>
  <si>
    <t>73мп+171м2</t>
  </si>
  <si>
    <t>800м2+560мп</t>
  </si>
  <si>
    <t>104*2+171=379 м2</t>
  </si>
  <si>
    <t>800р/м2</t>
  </si>
  <si>
    <t>19м2+13,3мп</t>
  </si>
  <si>
    <t>950м2-тер доска с покрас</t>
  </si>
  <si>
    <t>1800/м2</t>
  </si>
  <si>
    <t>ДЕРЕВЯННЫЕ ЭЛЕМЕНТЫ СУХИЕ (каркас, обсада, перекрытия)</t>
  </si>
  <si>
    <t>ДЕРЕВЯННЫЕ ЭЛЕМЕНТЫ Сухие (стропила 45х195, обрешетка, контробрешетка)</t>
  </si>
  <si>
    <t>ВЕНТИЛЯЦИОННЫЙ ВЫХОД Вилпе, (комплект)</t>
  </si>
  <si>
    <t>Москитная сетка  ячейка 1,4мм</t>
  </si>
  <si>
    <t>36м2 1,2*30</t>
  </si>
  <si>
    <t>3м 4 опоры</t>
  </si>
  <si>
    <t>Corotop   трехслойная кровельная мембрана, 75м2</t>
  </si>
  <si>
    <t>Corotop лента контрейки 30м*60мм</t>
  </si>
  <si>
    <t>от прайса 27%</t>
  </si>
  <si>
    <t>Мансардное окно Fakro FTS-V U4  78х118 окладом и комплектами пароизоляции и гидро-теплоизоляции</t>
  </si>
  <si>
    <t>Шлифовальные диски на сетчатой основе</t>
  </si>
  <si>
    <t xml:space="preserve">Краска Teknos, матовая с коллеровкай </t>
  </si>
  <si>
    <t>расход 4л на м2(в 2 слоя)</t>
  </si>
  <si>
    <t>заложена ст-ть опалубки</t>
  </si>
  <si>
    <t>кратно 10мп</t>
  </si>
  <si>
    <t>КЛЕЕНЫЕ ДЕРЕВЯННЫЕ ЭЛЕМЕНТЫ нестандартные сеч.</t>
  </si>
  <si>
    <t>внешн карк-150мм/черд 250 при холодн кров</t>
  </si>
  <si>
    <t>вкладака отделка</t>
  </si>
  <si>
    <t>внутр каркас с 2х сторон</t>
  </si>
  <si>
    <t>кор в зависимости от "пирога"</t>
  </si>
  <si>
    <t>S плиты</t>
  </si>
  <si>
    <t>S котлована</t>
  </si>
  <si>
    <t>H котлована</t>
  </si>
  <si>
    <t xml:space="preserve"> ростверк 200х200 </t>
  </si>
  <si>
    <t xml:space="preserve"> ростверк 250х450</t>
  </si>
  <si>
    <t>c % 5</t>
  </si>
  <si>
    <t>м²</t>
  </si>
  <si>
    <r>
      <t xml:space="preserve">БРУС СТЕНОВОЙ </t>
    </r>
    <r>
      <rPr>
        <sz val="10"/>
        <color indexed="10"/>
        <rFont val="Times New Roman"/>
        <family val="1"/>
        <charset val="204"/>
      </rPr>
      <t>205</t>
    </r>
    <r>
      <rPr>
        <sz val="10"/>
        <rFont val="Times New Roman"/>
        <family val="1"/>
        <charset val="204"/>
      </rPr>
      <t>х230(П-образный)</t>
    </r>
  </si>
  <si>
    <r>
      <t xml:space="preserve">Монтаж кровельного "пирога" (паро-, ветрозащита, обрешетка, контробрешетка, обрешетка доп. Утепления, </t>
    </r>
    <r>
      <rPr>
        <sz val="10"/>
        <color indexed="10"/>
        <rFont val="Times New Roman"/>
        <family val="1"/>
        <charset val="204"/>
      </rPr>
      <t>озб, гидроизоляция</t>
    </r>
    <r>
      <rPr>
        <sz val="10"/>
        <rFont val="Times New Roman"/>
        <family val="1"/>
        <charset val="204"/>
      </rPr>
      <t>)</t>
    </r>
  </si>
  <si>
    <r>
      <t xml:space="preserve">Готовая </t>
    </r>
    <r>
      <rPr>
        <b/>
        <sz val="10"/>
        <rFont val="Times New Roman"/>
        <family val="1"/>
        <charset val="204"/>
      </rPr>
      <t>крашеная</t>
    </r>
    <r>
      <rPr>
        <sz val="10"/>
        <rFont val="Times New Roman"/>
        <family val="1"/>
        <charset val="204"/>
      </rPr>
      <t xml:space="preserve"> доска 20х120</t>
    </r>
  </si>
  <si>
    <r>
      <t xml:space="preserve">Установка окон и балконных дверей </t>
    </r>
    <r>
      <rPr>
        <b/>
        <sz val="10"/>
        <rFont val="Times New Roman"/>
        <family val="1"/>
        <charset val="204"/>
      </rPr>
      <t>металлопластиковых</t>
    </r>
  </si>
  <si>
    <r>
      <t xml:space="preserve">Установка окон и балконных дверей </t>
    </r>
    <r>
      <rPr>
        <b/>
        <sz val="10"/>
        <rFont val="Times New Roman"/>
        <family val="1"/>
        <charset val="204"/>
      </rPr>
      <t>деревянных</t>
    </r>
  </si>
  <si>
    <r>
      <t xml:space="preserve">Окна и балконные двери </t>
    </r>
    <r>
      <rPr>
        <b/>
        <sz val="10"/>
        <rFont val="Times New Roman"/>
        <family val="1"/>
        <charset val="204"/>
      </rPr>
      <t>деревянные</t>
    </r>
  </si>
  <si>
    <r>
      <t xml:space="preserve">"голый" каркас перегородок </t>
    </r>
    <r>
      <rPr>
        <b/>
        <sz val="10"/>
        <color indexed="10"/>
        <rFont val="Times New Roman"/>
        <family val="1"/>
        <charset val="204"/>
      </rPr>
      <t>+124 000</t>
    </r>
  </si>
  <si>
    <r>
      <t>Полноценные каркасные перегородки (каркас, утепление 100 мм, обшивка имитатором бруса с 2х сторон)</t>
    </r>
    <r>
      <rPr>
        <b/>
        <sz val="10"/>
        <color indexed="10"/>
        <rFont val="Times New Roman"/>
        <family val="1"/>
        <charset val="204"/>
      </rPr>
      <t>-520 000</t>
    </r>
  </si>
  <si>
    <r>
      <t xml:space="preserve">Брусовые перегородки 160мм </t>
    </r>
    <r>
      <rPr>
        <b/>
        <sz val="10"/>
        <color indexed="10"/>
        <rFont val="Times New Roman"/>
        <family val="1"/>
        <charset val="204"/>
      </rPr>
      <t>+914 000</t>
    </r>
  </si>
  <si>
    <r>
      <t xml:space="preserve">Брусовые перегородки 205х230мм </t>
    </r>
    <r>
      <rPr>
        <b/>
        <sz val="10"/>
        <color indexed="10"/>
        <rFont val="Times New Roman"/>
        <family val="1"/>
        <charset val="204"/>
      </rPr>
      <t>+955 000</t>
    </r>
  </si>
  <si>
    <r>
      <t xml:space="preserve">Внешние стены из бруса 205 (если менять 160 на 205 и внутри пусто) </t>
    </r>
    <r>
      <rPr>
        <b/>
        <sz val="10"/>
        <color indexed="10"/>
        <rFont val="Times New Roman"/>
        <family val="1"/>
        <charset val="204"/>
      </rPr>
      <t>+863100</t>
    </r>
  </si>
  <si>
    <r>
      <t>Внешняя отделка ( торцы, стены, наличники , шлифовка, грунтовка и покраска)</t>
    </r>
    <r>
      <rPr>
        <b/>
        <sz val="10"/>
        <color indexed="10"/>
        <rFont val="Times New Roman"/>
        <family val="1"/>
        <charset val="204"/>
      </rPr>
      <t>+360 000</t>
    </r>
  </si>
  <si>
    <r>
      <t>Внутрення отделка ( шлифовка грунтовка, покраска стен, перегородок+ материалы Текнос)-</t>
    </r>
    <r>
      <rPr>
        <b/>
        <sz val="10"/>
        <color indexed="10"/>
        <rFont val="Times New Roman"/>
        <family val="1"/>
        <charset val="204"/>
      </rPr>
      <t>382000</t>
    </r>
  </si>
  <si>
    <r>
      <t>фундамент  плита 200+ростверк 200х200+ лента 400*300</t>
    </r>
    <r>
      <rPr>
        <b/>
        <sz val="10"/>
        <color indexed="10"/>
        <rFont val="Times New Roman"/>
        <family val="1"/>
        <charset val="204"/>
      </rPr>
      <t>+752000</t>
    </r>
  </si>
  <si>
    <r>
      <t>Террасы (настил из террасной доски-листв с покраской без  ограждения )-+</t>
    </r>
    <r>
      <rPr>
        <b/>
        <sz val="10"/>
        <color indexed="10"/>
        <rFont val="Times New Roman"/>
        <family val="1"/>
        <charset val="204"/>
      </rPr>
      <t>154000</t>
    </r>
  </si>
  <si>
    <r>
      <t xml:space="preserve">Межэтажное перекрытие (утепление 200, обрешетка, настил из фанеры 21, пароизоляция, подшивка имитатором бруса) </t>
    </r>
    <r>
      <rPr>
        <b/>
        <sz val="10"/>
        <color indexed="10"/>
        <rFont val="Times New Roman"/>
        <family val="1"/>
        <charset val="204"/>
      </rPr>
      <t>+608000</t>
    </r>
  </si>
  <si>
    <r>
      <t>Цокольное перекрытие (ЭПП 300 мм+ фиброцементная стяжка 90мм)</t>
    </r>
    <r>
      <rPr>
        <b/>
        <sz val="10"/>
        <color indexed="10"/>
        <rFont val="Times New Roman"/>
        <family val="1"/>
        <charset val="204"/>
      </rPr>
      <t>+237000</t>
    </r>
  </si>
  <si>
    <r>
      <t xml:space="preserve">Подшивка потолка 2 этажа имитатором бруса </t>
    </r>
    <r>
      <rPr>
        <b/>
        <sz val="10"/>
        <color indexed="10"/>
        <rFont val="Times New Roman"/>
        <family val="1"/>
        <charset val="204"/>
      </rPr>
      <t>+163000</t>
    </r>
  </si>
  <si>
    <t>Себестоимость</t>
  </si>
  <si>
    <t>выбрать нужное покрытие</t>
  </si>
  <si>
    <t>Перепроверить</t>
  </si>
  <si>
    <t>Выбрать нужные окна</t>
  </si>
  <si>
    <t>Монтаж капельников</t>
  </si>
  <si>
    <t>Капельники</t>
  </si>
  <si>
    <t>Накладные расходы, плановые накопления, транспортные расходы</t>
  </si>
  <si>
    <t>Монтаж лаг на террасе, балконе</t>
  </si>
  <si>
    <t>Осб 12 мм</t>
  </si>
  <si>
    <t>Окно мансардное с окладом и комплектами пароизоляции и гидро-теплоизоляции Fakro</t>
  </si>
  <si>
    <t>Водосточная система металлическая  Grand Line</t>
  </si>
  <si>
    <t>Арматура A3 Ø12; Ø 8</t>
  </si>
  <si>
    <t>Щебень 20-40</t>
  </si>
  <si>
    <t>Геотекстиль, пл. 200 гр</t>
  </si>
  <si>
    <t>КЛЕЕНЫЕ ДЕРЕВЯННЫЕ ЭЛЕМЕНТЫ (балки, опорные столбы и стойки)</t>
  </si>
  <si>
    <t>Имитатор бруса 26х196 мм</t>
  </si>
  <si>
    <r>
      <t>Имитатор бруса 40х</t>
    </r>
    <r>
      <rPr>
        <b/>
        <sz val="10"/>
        <color indexed="10"/>
        <rFont val="Times New Roman"/>
        <family val="1"/>
        <charset val="204"/>
      </rPr>
      <t>230/280 мм</t>
    </r>
  </si>
  <si>
    <t>КЛЕЕНЫЕ ДЕРЕВЯННЫЕ ЭЛЕМЕНТЫ (стропила, несущие элементы кровли )</t>
  </si>
  <si>
    <t>Металлочерепица  доборными и фасонными элементами Grand Line</t>
  </si>
  <si>
    <r>
      <t xml:space="preserve">Окна и балконные двери </t>
    </r>
    <r>
      <rPr>
        <b/>
        <sz val="10"/>
        <rFont val="Times New Roman"/>
        <family val="1"/>
        <charset val="204"/>
      </rPr>
      <t>металлопластиковые белые VEKA  Профиль 70 мм</t>
    </r>
  </si>
  <si>
    <t>Ж/Б свая  (150х150х3000мм)</t>
  </si>
  <si>
    <t>Устройство черновой лестницы</t>
  </si>
  <si>
    <t>Черновая лестница</t>
  </si>
  <si>
    <t>Монтаж входной двери</t>
  </si>
  <si>
    <t>Дверь входная JELD-Wen (Финляндия)</t>
  </si>
  <si>
    <t>Монтаж террасной доски с покраской</t>
  </si>
  <si>
    <t>Изготовление ограждения</t>
  </si>
  <si>
    <t>Монтаж ограждения</t>
  </si>
  <si>
    <t>Шлифовка и покраска ограждения</t>
  </si>
  <si>
    <t xml:space="preserve">Террасная доска хвоя </t>
  </si>
  <si>
    <t>Масло Tikkurila Valtti Terrace Oil для террас основа EC 2,7 л</t>
  </si>
  <si>
    <t xml:space="preserve">Ограждение </t>
  </si>
  <si>
    <r>
      <rPr>
        <b/>
        <sz val="10"/>
        <rFont val="Times New Roman"/>
        <family val="1"/>
        <charset val="204"/>
      </rPr>
      <t>Комплектация:</t>
    </r>
    <r>
      <rPr>
        <sz val="10"/>
        <rFont val="Times New Roman"/>
        <family val="1"/>
        <charset val="204"/>
      </rPr>
      <t xml:space="preserve"> фундамент  плита 200+ ростверк 200х200+жб сваи, стены из </t>
    </r>
    <r>
      <rPr>
        <b/>
        <sz val="10"/>
        <color indexed="10"/>
        <rFont val="Times New Roman"/>
        <family val="1"/>
        <charset val="204"/>
      </rPr>
      <t>205</t>
    </r>
    <r>
      <rPr>
        <b/>
        <sz val="10"/>
        <rFont val="Times New Roman"/>
        <family val="1"/>
        <charset val="204"/>
      </rPr>
      <t xml:space="preserve">х230 бруса  перегородки </t>
    </r>
    <r>
      <rPr>
        <b/>
        <sz val="10"/>
        <color indexed="10"/>
        <rFont val="Times New Roman"/>
        <family val="1"/>
        <charset val="204"/>
      </rPr>
      <t>каркасные/ 160х230</t>
    </r>
    <r>
      <rPr>
        <sz val="10"/>
        <rFont val="Times New Roman"/>
        <family val="1"/>
        <charset val="204"/>
      </rPr>
      <t xml:space="preserve"> межэтажное перекрытие (балки без настила), окна-</t>
    </r>
    <r>
      <rPr>
        <sz val="10"/>
        <color indexed="10"/>
        <rFont val="Times New Roman"/>
        <family val="1"/>
        <charset val="204"/>
      </rPr>
      <t>белые металлопластиковые/ деревянные</t>
    </r>
    <r>
      <rPr>
        <sz val="10"/>
        <rFont val="Times New Roman"/>
        <family val="1"/>
        <charset val="204"/>
      </rPr>
      <t xml:space="preserve">, кровля утепленная 250 мм с покрытием </t>
    </r>
    <r>
      <rPr>
        <sz val="10"/>
        <color indexed="10"/>
        <rFont val="Times New Roman"/>
        <family val="1"/>
        <charset val="204"/>
      </rPr>
      <t>ЦПЧ,</t>
    </r>
    <r>
      <rPr>
        <sz val="10"/>
        <rFont val="Times New Roman"/>
        <family val="1"/>
        <charset val="204"/>
      </rPr>
      <t xml:space="preserve"> с подшивкой свесов крашеной доской, и обрешеткой под внутр. отделку. Внешняя отделка: шлифовка и покраска, наличники. На крыльце и терассах фундамент-жб и  настил из террасной доски.</t>
    </r>
  </si>
  <si>
    <t>Отсечная гидроизоляция Технониколь 0,6x20 м</t>
  </si>
  <si>
    <t>40 м2</t>
  </si>
  <si>
    <t>Гидроизоляция  1х40</t>
  </si>
  <si>
    <t>DELTA-MULTI-BAND M 60, 25м или аналог</t>
  </si>
  <si>
    <t>Базальтовый утеплитель Paroc eXtra/Rockwool</t>
  </si>
  <si>
    <t>Натуральная черепица с доборными и фасонными элементами Kriastak</t>
  </si>
  <si>
    <t>Выемка грунта</t>
  </si>
  <si>
    <t>Устройство обратной засыпки из песка с послойной тромбовкой 300 мм</t>
  </si>
  <si>
    <t>Устройство обратной засыпки из песка с послойной тромбовкой 200 мм</t>
  </si>
  <si>
    <t>Закладка гильз и устройство канализационных сетей под фундаментом</t>
  </si>
  <si>
    <t>Устройство фундамента (Монолитные,арматурные,опалубочные работы)</t>
  </si>
  <si>
    <t>Монтаж каркаса перегородок</t>
  </si>
  <si>
    <t>Устройство теплего межчердачного перекрытия (пароизоляция, утепление 250мм, обрешетка под отделку)</t>
  </si>
  <si>
    <t>Разработка КЖ</t>
  </si>
  <si>
    <t>Непредвиденные расходы</t>
  </si>
  <si>
    <t>Плановые накопления</t>
  </si>
  <si>
    <t>Накладные расходы</t>
  </si>
  <si>
    <t>Крепеж и расходные материалы по разделу</t>
  </si>
  <si>
    <t>Монтаж обрешётки</t>
  </si>
  <si>
    <t>Монтаж кровельной мембраны</t>
  </si>
  <si>
    <t>Итого работа:</t>
  </si>
  <si>
    <t xml:space="preserve">Монтаж металлочерепицы </t>
  </si>
  <si>
    <t>Металлочерепица Grand Line с доборными и фасонными элементами</t>
  </si>
  <si>
    <t>Установка окон и балконных дверей</t>
  </si>
  <si>
    <t xml:space="preserve">мп </t>
  </si>
  <si>
    <t>Кровля:</t>
  </si>
  <si>
    <t>Окна, двери:</t>
  </si>
  <si>
    <t>Внутренняя отделка:</t>
  </si>
  <si>
    <t>Монтаж обрешетки под отделку потолка</t>
  </si>
  <si>
    <t>Входная дверь Jeld-Wen Basic B0010 темно-серая*</t>
  </si>
  <si>
    <t xml:space="preserve">Монтаж подшивной доски </t>
  </si>
  <si>
    <t>Доска сухая строг 45х195 мм</t>
  </si>
  <si>
    <t>Монтаж отсечной гидроизоляции</t>
  </si>
  <si>
    <t>Внешняя отделка:</t>
  </si>
  <si>
    <t>Работа</t>
  </si>
  <si>
    <t>№ п/п</t>
  </si>
  <si>
    <t xml:space="preserve">Отсечная гидроизоляция Технониколь </t>
  </si>
  <si>
    <t xml:space="preserve">1 этаж </t>
  </si>
  <si>
    <t>Межэтажное перекрытие</t>
  </si>
  <si>
    <t>2 этаж/мансарда</t>
  </si>
  <si>
    <t>1 этаж</t>
  </si>
  <si>
    <t>Устройство каркаса внешних стен 1 этажа</t>
  </si>
  <si>
    <t>Монтаж утепления базальтового т.150 мм</t>
  </si>
  <si>
    <t>Монтаж бруска дополнительного утепления</t>
  </si>
  <si>
    <t>Монтаж перекрестного слоя утепления т.50 мм</t>
  </si>
  <si>
    <t>Монтаж балок на террасе, крыльце</t>
  </si>
  <si>
    <t>2 этаж</t>
  </si>
  <si>
    <t>Устройство каркаса внешних стен 2 этажа</t>
  </si>
  <si>
    <t xml:space="preserve"> Кровля</t>
  </si>
  <si>
    <t xml:space="preserve"> Окна, двери</t>
  </si>
  <si>
    <t xml:space="preserve"> Внешняя отделка</t>
  </si>
  <si>
    <t>Монтаж обрешетки под отделку фасада</t>
  </si>
  <si>
    <t>Монтаж фасадной доски</t>
  </si>
  <si>
    <t>доска 95х20 мм,сухая, строганная окрашенная на производстве (1 слой грунта +2 слоя краски), под цвет дома</t>
  </si>
  <si>
    <t>Монтаж накладок на углы дома</t>
  </si>
  <si>
    <t>Монтаж декоративных элементов фасада</t>
  </si>
  <si>
    <t>Устройство ступеней крыльца, террасы</t>
  </si>
  <si>
    <t>Монтаж бруска под отделку стен</t>
  </si>
  <si>
    <t>Отделка стен в санузле гипсокартоном</t>
  </si>
  <si>
    <t>Отделка потолка вагонкой с крепление  на  финишные гвозди</t>
  </si>
  <si>
    <t>Отделка стен вагонкой с креплением на финишные гвозди</t>
  </si>
  <si>
    <t>Грунтование стен, потолка в 1 слой</t>
  </si>
  <si>
    <t>Покраска стен, потолка в 2 слоя</t>
  </si>
  <si>
    <t xml:space="preserve"> мп</t>
  </si>
  <si>
    <t>Доска сухая строг 45х145 мм</t>
  </si>
  <si>
    <t>Доска сухая строг 25х95 мм</t>
  </si>
  <si>
    <t>Доска сухая строганная 45х145 мм</t>
  </si>
  <si>
    <t>Утеплитель ТеплоKnauf Коттедж Термо Плита 037 100х610х1230 мм 6 кв.м</t>
  </si>
  <si>
    <t>Утеплитель ТеплоKnauf Коттедж Термо Плита 037 50х610х1230 мм 12 кв.м</t>
  </si>
  <si>
    <t>брусок сухой 50х50 мм</t>
  </si>
  <si>
    <t>Tyvek Housewrap  75 кв.м</t>
  </si>
  <si>
    <t>Доска сухая строг 45х95мм</t>
  </si>
  <si>
    <t>Монтаж каркаса внутренних стен</t>
  </si>
  <si>
    <t>Монтаж шумоизоляции т 100мм</t>
  </si>
  <si>
    <t>Шумоизоляция Knauf АкустиКнауф Плита 100х610х1230 мм 6 кв.м</t>
  </si>
  <si>
    <t xml:space="preserve">Монтаж защиты от частиц утеплителя с 2х сторон с проклейкой швов </t>
  </si>
  <si>
    <t>пленка пароизоляционная, 3х100м</t>
  </si>
  <si>
    <t>Крафт бумага в рулоне, ширина 84 см, намотка-150 м (78г/м2)</t>
  </si>
  <si>
    <t>Лента соединительная Delta Multi Band M 60 мм х 25 м</t>
  </si>
  <si>
    <t>Брус сухой строг 195х195м</t>
  </si>
  <si>
    <t>доска сухая строг 25х95мм</t>
  </si>
  <si>
    <t>Монтаж разряженной обрешетки под черновой настил</t>
  </si>
  <si>
    <t>доска сухая 20х120 мм</t>
  </si>
  <si>
    <t>Настил чернового покрытия</t>
  </si>
  <si>
    <t>ДСП влагостойкая шпунтованная QuickDeck Professional 22х600х2440 мм</t>
  </si>
  <si>
    <t>лист</t>
  </si>
  <si>
    <t>Уборка и погрузка мусора в мешки</t>
  </si>
  <si>
    <t>усл</t>
  </si>
  <si>
    <t>Погрузо-разгрузочные работы</t>
  </si>
  <si>
    <t>Устройство фасадных лесов, с разборкой</t>
  </si>
  <si>
    <t>Итого 1 этаж:</t>
  </si>
  <si>
    <t>Итого 2 этаж:</t>
  </si>
  <si>
    <t xml:space="preserve">Устройство черновой строительной лестницы </t>
  </si>
  <si>
    <t>Брус сухой строг 145х145 мм</t>
  </si>
  <si>
    <t>Брус сухой строг 145х195 мм</t>
  </si>
  <si>
    <t>Монтаж стоек и балок террасы, крыльца</t>
  </si>
  <si>
    <t>Брус сухой строг 195х145м</t>
  </si>
  <si>
    <t>Утепление кровли т 200 мм</t>
  </si>
  <si>
    <t>Брусок 50х50 мм</t>
  </si>
  <si>
    <t>Ветро-влагозащита для кровли/стен Tyvek Soft  75 кв.м</t>
  </si>
  <si>
    <t xml:space="preserve">Монтаж контробрешетки </t>
  </si>
  <si>
    <t>Доска сухая строганная 25х95 мм</t>
  </si>
  <si>
    <t>Снегозадержатель трубчатый универсальный Optima 1,м</t>
  </si>
  <si>
    <t>Монтаж карнизной и лобовой доски</t>
  </si>
  <si>
    <t>Водосточная системаDocke Premium пласт.</t>
  </si>
  <si>
    <t>Окна металлопластиковые Rehau Grazio  70 мм, ламинированные</t>
  </si>
  <si>
    <t>Подшивная доска, тонкопиленая с покраской</t>
  </si>
  <si>
    <t>Итого межэтажное перекрытие:</t>
  </si>
  <si>
    <t>брусок 40х40м</t>
  </si>
  <si>
    <t>скандинавская фасадная доска 21/145(132)/6000, Сосна/Ель, сорт AB окрашенная на производстве (1 слой грунта, 2 слоя краски), краска Teknos</t>
  </si>
  <si>
    <t>доска 90х20 мм,сухая, строганная окрашенная на производстве (1 слой грунта +2 слоя краски), под цвет дома</t>
  </si>
  <si>
    <t>Брусок сухой строганый 20х45х3000 мм сорт АВ хвойные породы</t>
  </si>
  <si>
    <t xml:space="preserve">доска сухая строг 45х145мм </t>
  </si>
  <si>
    <t xml:space="preserve">Монтаж террасной доски </t>
  </si>
  <si>
    <t>Импрегнированная террасная доска (28х95х4000 мм)</t>
  </si>
  <si>
    <t>Брусок сухой строганый 40х40х3000 мм сорт АВ хвойные породы</t>
  </si>
  <si>
    <t xml:space="preserve">Монтаж декоративного ограждения крыльца и террас </t>
  </si>
  <si>
    <t>Грунтовка, покраска с 4х сторон ограждения, фасадного бруска</t>
  </si>
  <si>
    <t>Монтаж наличников  (без доборов)</t>
  </si>
  <si>
    <t xml:space="preserve"> Внутренняя отделка</t>
  </si>
  <si>
    <t>Итого внешняя отделка:</t>
  </si>
  <si>
    <t>Гипсокартон Knauf 2500х1200х12.5 мм влагостойкий</t>
  </si>
  <si>
    <t>SATU SAUNAVAHA лессирующий воск 0,9л Текнос</t>
  </si>
  <si>
    <t>WOODEX AQUA BASE грунтовочный антисептик Текнос</t>
  </si>
  <si>
    <t xml:space="preserve"> NORDICA MATT краска матовая Текнос 0,9л</t>
  </si>
  <si>
    <t>Галтель фигурная 24х8х2200 мм сорт Экстра сращенная</t>
  </si>
  <si>
    <t>Плинтус 35х14х3000 мм сорт АВ</t>
  </si>
  <si>
    <t>Итого  внетренняя отделка:</t>
  </si>
  <si>
    <t>Стоимость материалов и техники может индексироваться на момент подписания сметы.</t>
  </si>
  <si>
    <t>В расчет не входят следующие затраты:</t>
  </si>
  <si>
    <t xml:space="preserve"> подготовка участка под строительство;</t>
  </si>
  <si>
    <t>устройство строительной площадки для хранения стороительных материалов</t>
  </si>
  <si>
    <t xml:space="preserve">вывоз грунта и строительного мусора </t>
  </si>
  <si>
    <t>Примечание:</t>
  </si>
  <si>
    <t>внутренние межкомнатные двери и их обналичка</t>
  </si>
  <si>
    <t>устройство вентвыходов на кровле</t>
  </si>
  <si>
    <t>Вагонка «ШТИЛЬ» 16х146х6000 мм</t>
  </si>
  <si>
    <t>Паро-гидроизоляция Tyvek Airguard SD5  75 кв.м</t>
  </si>
  <si>
    <t xml:space="preserve">Монтаж пароизоляции с 2х сторон, с проклейкой </t>
  </si>
  <si>
    <t>Монтаж гидроветрозащитаная мембраны</t>
  </si>
  <si>
    <t xml:space="preserve">Монтаж гидроветрозащитаная мембраны </t>
  </si>
  <si>
    <t>брусок 20х40м</t>
  </si>
  <si>
    <t>3 доски ш. 95мм</t>
  </si>
  <si>
    <t>Отлив 2м мет.</t>
  </si>
  <si>
    <t>Брусок сухой строганый 20х40х3000 мм сорт АВ хвойные породы</t>
  </si>
  <si>
    <t>брусок 20х40</t>
  </si>
  <si>
    <t>Монтаж бруска под отделку потолка 1 этажа</t>
  </si>
  <si>
    <t>Монтаж плинтуса, галтелей, уголков</t>
  </si>
  <si>
    <t>Угол наружный гладкий 45х45х5х2500 мм сорт Экстра сращенный</t>
  </si>
  <si>
    <t>Угол внутренний фигурный 15х15х5х2500 мм сорт Экстра сращенный</t>
  </si>
  <si>
    <t>Вагонка осина Евро сорт А 12,5х96х2700 мм S раб.= 2,376 кв.м</t>
  </si>
  <si>
    <t>сауна</t>
  </si>
  <si>
    <t>Монтаж фальгизированной пароизоляции в сауне (потолок, стены), с проклейкой</t>
  </si>
  <si>
    <t>Теплоизоляция отражающая универсальная Стенофон НПЭ ЛФ 190 тип С 5 мм 1х25 м</t>
  </si>
  <si>
    <t>Лента монтажная армированная алюминиевая 50 мм 50 м</t>
  </si>
  <si>
    <t>Антисептик Neomid 430 Еco невымываемый для дерева биозащитный концентрат 1:9 5 кг</t>
  </si>
  <si>
    <t>Расход 300 г/м2</t>
  </si>
  <si>
    <t>Антисептирование пиломатериалов с 4х сторон</t>
  </si>
  <si>
    <t xml:space="preserve">Монтаж антигрызунной сетки по периметру </t>
  </si>
  <si>
    <t>Сетка ОЦ 6х6, толщ 0,5 мм, рулон 15 кв.м.</t>
  </si>
  <si>
    <t>Каркасный дом</t>
  </si>
  <si>
    <t>Сумма</t>
  </si>
  <si>
    <t>Всего</t>
  </si>
  <si>
    <t>устройство строительного городка (бытовки, биотуалет)</t>
  </si>
  <si>
    <t>устройство отмостки (выполняется после монтажа ливневой канализации);</t>
  </si>
  <si>
    <t>чистовая лестница на 2 этаж</t>
  </si>
  <si>
    <t>Фундамент</t>
  </si>
  <si>
    <t>Подготовка основания</t>
  </si>
  <si>
    <t>Разбивка осей котлована</t>
  </si>
  <si>
    <t>Земляные работы, сопровождение работы экскаватора</t>
  </si>
  <si>
    <t>Доработка грунта вручную</t>
  </si>
  <si>
    <t>Настил геотекстиля по основанию</t>
  </si>
  <si>
    <t>Геотекстиль иглопробивной 200 гр/мкв, 50мкв</t>
  </si>
  <si>
    <t>Устройство дренажного слоя из щебня т 100м вручную</t>
  </si>
  <si>
    <t>Устройство песчаной подготовки т.400 мм, с послойным уплотнением.</t>
  </si>
  <si>
    <t>Аренда виброплиты (трамбовка)</t>
  </si>
  <si>
    <t>Настил геотекстиля по песку</t>
  </si>
  <si>
    <t>Пеноплэкс фундамент 1185х585х50 мм</t>
  </si>
  <si>
    <t>Настил гидроизоляционной пленки</t>
  </si>
  <si>
    <t>Пленка армированная полотно 120г/кв.м, 2х25 м</t>
  </si>
  <si>
    <t>Утепление подошвы отмостки на ширину 100 мм с герметизацией швов</t>
  </si>
  <si>
    <t xml:space="preserve">Устройство опалубки </t>
  </si>
  <si>
    <t>Доска 50х150х6000 мм е/в</t>
  </si>
  <si>
    <t>к-т</t>
  </si>
  <si>
    <t>Устройство арматурного каркаса</t>
  </si>
  <si>
    <t xml:space="preserve">Арматура металлическая д.8 А500 </t>
  </si>
  <si>
    <t xml:space="preserve">Арматура металлическая д.12 А500 </t>
  </si>
  <si>
    <t>Пеноплэкс фундамент 1185х585х100 мм</t>
  </si>
  <si>
    <t>Вибратор глубинный</t>
  </si>
  <si>
    <t>Прочие работы</t>
  </si>
  <si>
    <t>Устройство обмазочной цементно-песчаной гидроизоляции поверхности и торцов фундамента</t>
  </si>
  <si>
    <t>м кв</t>
  </si>
  <si>
    <t>Гидроизоляция Ceresit CR-65, 25 кг</t>
  </si>
  <si>
    <t>меш</t>
  </si>
  <si>
    <t>Утепление  торцов фундамента т. 100 мм ЭППС</t>
  </si>
  <si>
    <t>комп.</t>
  </si>
  <si>
    <t>Монолитная ж/б плита 250 мм</t>
  </si>
  <si>
    <t>Винтовые сваи</t>
  </si>
  <si>
    <t>Монтаж винтовых свай d 89 h-2500мм</t>
  </si>
  <si>
    <t>Оголовок для сваи винтовой d89 мм</t>
  </si>
  <si>
    <t>Смесь цементно-песчаная (ЦПС) М150 Петролит 25 кг</t>
  </si>
  <si>
    <t>Монтаж инженерных сетей под фундаментом и устройство гильз</t>
  </si>
  <si>
    <t>Щебень  фр 20-40, машина 20 м3</t>
  </si>
  <si>
    <t>Песок карьерный, машина 20 м3</t>
  </si>
  <si>
    <t>Проволока вязальная 1,2мм</t>
  </si>
  <si>
    <t>Фиксаторы арматуры гориз.уп 250 шт</t>
  </si>
  <si>
    <t>Бетонирование монолитной плиты с виброванием</t>
  </si>
  <si>
    <t>Бетон В25 W6 с доставкой*</t>
  </si>
  <si>
    <t>Сума</t>
  </si>
  <si>
    <t>Инженер-сметчик Лодыгина Анна 
 +7(921)920-35-31, ailodygina@yandex.ru</t>
  </si>
  <si>
    <t>Утепление подошвы плиты, плиты ЭПП т.100 с герметизацией швов</t>
  </si>
  <si>
    <r>
      <t xml:space="preserve">Транспортные расходы </t>
    </r>
    <r>
      <rPr>
        <i/>
        <sz val="10"/>
        <rFont val="Arial"/>
        <family val="2"/>
        <charset val="204"/>
      </rPr>
      <t>- это расходы связанные с погрузочно-разгрузочными работами и  перевозкой материалов и строительной техники</t>
    </r>
  </si>
  <si>
    <r>
      <t>Накладные расходы</t>
    </r>
    <r>
      <rPr>
        <i/>
        <sz val="10"/>
        <rFont val="Arial"/>
        <family val="2"/>
        <charset val="204"/>
      </rPr>
      <t>-расходы на организацию работ на строительной площадке</t>
    </r>
  </si>
  <si>
    <r>
      <rPr>
        <b/>
        <i/>
        <sz val="10"/>
        <rFont val="Arial"/>
        <family val="2"/>
        <charset val="204"/>
      </rPr>
      <t>Непредвиденные расходы</t>
    </r>
    <r>
      <rPr>
        <i/>
        <sz val="10"/>
        <rFont val="Arial"/>
        <family val="2"/>
        <charset val="204"/>
      </rPr>
      <t>-резерв средств на непредвиденные работы и затраты, предназначенный для возмещения стоимости работ и затрат, потребность в которых возникает в процессе разработки рабочей документации или в ходе строительства в результате уточнения проектных решений или условий строительства по объектам</t>
    </r>
  </si>
  <si>
    <t>устройство дренажа фундамента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</si>
</sst>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\ _₽_-;\-* #,##0\ _₽_-;_-* &quot;-&quot;\ _₽_-;_-@_-"/>
    <numFmt numFmtId="43" formatCode="_-* #,##0.00\ _₽_-;\-* #,##0.00\ _₽_-;_-* &quot;-&quot;??\ _₽_-;_-@_-"/>
    <numFmt numFmtId="164" formatCode="0.000"/>
    <numFmt numFmtId="165" formatCode="0.0"/>
    <numFmt numFmtId="166" formatCode="#,##0.0"/>
    <numFmt numFmtId="167" formatCode="0.0%"/>
    <numFmt numFmtId="168" formatCode="#,##0.0_ ;\-#,##0.0\ "/>
    <numFmt numFmtId="169" formatCode="#,##0.000_ ;\-#,##0.000\ "/>
    <numFmt numFmtId="170" formatCode="#,##0.00_ ;\-#,##0.00\ "/>
  </numFmts>
  <fonts count="93" x14ac:knownFonts="1">
    <font>
      <sz val="10"/>
      <name val="Arial Cyr"/>
      <charset val="204"/>
    </font>
    <font>
      <sz val="11"/>
      <name val="Century Gothic"/>
      <family val="2"/>
      <charset val="204"/>
    </font>
    <font>
      <sz val="9"/>
      <name val="Century Gothic"/>
      <family val="2"/>
      <charset val="204"/>
    </font>
    <font>
      <b/>
      <sz val="11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0"/>
      <name val="Century Gothic"/>
      <family val="2"/>
      <charset val="204"/>
    </font>
    <font>
      <sz val="9"/>
      <color indexed="8"/>
      <name val="Century Gothic"/>
      <family val="2"/>
      <charset val="204"/>
    </font>
    <font>
      <sz val="12"/>
      <color indexed="8"/>
      <name val="Century Gothic"/>
      <family val="2"/>
      <charset val="204"/>
    </font>
    <font>
      <b/>
      <sz val="12"/>
      <color indexed="8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11"/>
      <color indexed="8"/>
      <name val="Century Gothic"/>
      <family val="2"/>
      <charset val="204"/>
    </font>
    <font>
      <sz val="10"/>
      <name val="Arial Cyr"/>
      <charset val="204"/>
    </font>
    <font>
      <sz val="8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2"/>
      <color indexed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sz val="10"/>
      <color indexed="10"/>
      <name val="Century Gothic"/>
      <family val="2"/>
      <charset val="204"/>
    </font>
    <font>
      <b/>
      <sz val="9"/>
      <name val="Century Gothic"/>
      <family val="2"/>
      <charset val="204"/>
    </font>
    <font>
      <sz val="7"/>
      <name val="Century Gothic"/>
      <family val="2"/>
      <charset val="204"/>
    </font>
    <font>
      <i/>
      <sz val="10"/>
      <name val="Century Gothic"/>
      <family val="2"/>
      <charset val="204"/>
    </font>
    <font>
      <i/>
      <sz val="9"/>
      <name val="Century Gothic"/>
      <family val="2"/>
      <charset val="204"/>
    </font>
    <font>
      <b/>
      <sz val="10"/>
      <name val="Century Gothic"/>
      <family val="2"/>
      <charset val="204"/>
    </font>
    <font>
      <sz val="10"/>
      <color indexed="56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sz val="9"/>
      <color indexed="10"/>
      <name val="Century Gothic"/>
      <family val="2"/>
      <charset val="204"/>
    </font>
    <font>
      <sz val="10"/>
      <color indexed="18"/>
      <name val="Century Gothic"/>
      <family val="2"/>
      <charset val="204"/>
    </font>
    <font>
      <sz val="10"/>
      <color indexed="60"/>
      <name val="Century Gothic"/>
      <family val="2"/>
      <charset val="204"/>
    </font>
    <font>
      <sz val="9"/>
      <color indexed="56"/>
      <name val="Century Gothic"/>
      <family val="2"/>
      <charset val="204"/>
    </font>
    <font>
      <b/>
      <sz val="18"/>
      <color indexed="10"/>
      <name val="Century Gothic"/>
      <family val="2"/>
      <charset val="204"/>
    </font>
    <font>
      <sz val="8"/>
      <color indexed="10"/>
      <name val="Century Gothic"/>
      <family val="2"/>
      <charset val="204"/>
    </font>
    <font>
      <sz val="10"/>
      <color indexed="53"/>
      <name val="Century Gothic"/>
      <family val="2"/>
      <charset val="204"/>
    </font>
    <font>
      <b/>
      <sz val="7"/>
      <name val="Century Gothic"/>
      <family val="2"/>
      <charset val="204"/>
    </font>
    <font>
      <b/>
      <sz val="8"/>
      <name val="Century Gothic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i/>
      <sz val="12"/>
      <name val="Arial Cyr"/>
      <charset val="204"/>
    </font>
    <font>
      <i/>
      <sz val="12"/>
      <name val="Century Gothic"/>
      <family val="2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Century Gothic"/>
      <family val="2"/>
      <charset val="204"/>
    </font>
    <font>
      <b/>
      <sz val="7"/>
      <color indexed="8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sz val="12"/>
      <color indexed="8"/>
      <name val="Century Gothic"/>
      <family val="2"/>
      <charset val="204"/>
    </font>
    <font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Century Gothic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2"/>
      <color rgb="FFC00000"/>
      <name val="Century Gothic"/>
      <family val="2"/>
      <charset val="204"/>
    </font>
    <font>
      <b/>
      <sz val="8"/>
      <color rgb="FFBFBFBF"/>
      <name val="Arial Cyr"/>
      <charset val="204"/>
    </font>
    <font>
      <sz val="8"/>
      <color rgb="FFA5A5A5"/>
      <name val="Century Gothic"/>
      <family val="2"/>
      <charset val="204"/>
    </font>
    <font>
      <sz val="10"/>
      <color rgb="FF40404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7" tint="0.59999389629810485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u/>
      <sz val="10"/>
      <color indexed="8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1" tint="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3" fillId="0" borderId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5" fillId="28" borderId="70" applyNumberFormat="0" applyAlignment="0" applyProtection="0"/>
    <xf numFmtId="0" fontId="66" fillId="29" borderId="71" applyNumberFormat="0" applyAlignment="0" applyProtection="0"/>
    <xf numFmtId="0" fontId="67" fillId="29" borderId="70" applyNumberFormat="0" applyAlignment="0" applyProtection="0"/>
    <xf numFmtId="0" fontId="68" fillId="0" borderId="72" applyNumberFormat="0" applyFill="0" applyAlignment="0" applyProtection="0"/>
    <xf numFmtId="0" fontId="69" fillId="0" borderId="73" applyNumberFormat="0" applyFill="0" applyAlignment="0" applyProtection="0"/>
    <xf numFmtId="0" fontId="70" fillId="0" borderId="74" applyNumberFormat="0" applyFill="0" applyAlignment="0" applyProtection="0"/>
    <xf numFmtId="0" fontId="70" fillId="0" borderId="0" applyNumberFormat="0" applyFill="0" applyBorder="0" applyAlignment="0" applyProtection="0"/>
    <xf numFmtId="0" fontId="46" fillId="0" borderId="75" applyNumberFormat="0" applyFill="0" applyAlignment="0" applyProtection="0"/>
    <xf numFmtId="0" fontId="47" fillId="30" borderId="76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2" fillId="0" borderId="0"/>
    <xf numFmtId="0" fontId="44" fillId="0" borderId="0"/>
    <xf numFmtId="0" fontId="73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33" borderId="77" applyNumberFormat="0" applyFont="0" applyAlignment="0" applyProtection="0"/>
    <xf numFmtId="9" fontId="12" fillId="0" borderId="0" applyFont="0" applyFill="0" applyBorder="0" applyAlignment="0" applyProtection="0"/>
    <xf numFmtId="0" fontId="74" fillId="0" borderId="78" applyNumberFormat="0" applyFill="0" applyAlignment="0" applyProtection="0"/>
    <xf numFmtId="0" fontId="49" fillId="0" borderId="0" applyNumberFormat="0" applyFill="0" applyBorder="0" applyAlignment="0" applyProtection="0"/>
    <xf numFmtId="0" fontId="75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43" fillId="0" borderId="0"/>
  </cellStyleXfs>
  <cellXfs count="73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1" fontId="5" fillId="35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left" vertical="center"/>
    </xf>
    <xf numFmtId="2" fontId="5" fillId="35" borderId="0" xfId="0" applyNumberFormat="1" applyFont="1" applyFill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35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2" fontId="5" fillId="0" borderId="19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1" fontId="5" fillId="35" borderId="3" xfId="0" applyNumberFormat="1" applyFont="1" applyFill="1" applyBorder="1" applyAlignment="1">
      <alignment horizontal="center" vertical="center"/>
    </xf>
    <xf numFmtId="1" fontId="5" fillId="35" borderId="2" xfId="0" applyNumberFormat="1" applyFont="1" applyFill="1" applyBorder="1" applyAlignment="1">
      <alignment horizontal="center" vertical="center"/>
    </xf>
    <xf numFmtId="1" fontId="5" fillId="35" borderId="19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0" fillId="35" borderId="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2" fontId="5" fillId="35" borderId="0" xfId="0" applyNumberFormat="1" applyFont="1" applyFill="1" applyAlignment="1">
      <alignment horizontal="center" vertical="center"/>
    </xf>
    <xf numFmtId="2" fontId="6" fillId="35" borderId="0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 wrapText="1"/>
    </xf>
    <xf numFmtId="2" fontId="50" fillId="35" borderId="0" xfId="0" applyNumberFormat="1" applyFont="1" applyFill="1" applyBorder="1" applyAlignment="1">
      <alignment vertical="center"/>
    </xf>
    <xf numFmtId="2" fontId="50" fillId="35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36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2" fontId="76" fillId="0" borderId="8" xfId="0" applyNumberFormat="1" applyFont="1" applyBorder="1" applyAlignment="1">
      <alignment horizontal="center" vertical="center"/>
    </xf>
    <xf numFmtId="1" fontId="76" fillId="2" borderId="2" xfId="0" applyNumberFormat="1" applyFont="1" applyFill="1" applyBorder="1" applyAlignment="1">
      <alignment horizontal="center" vertical="center"/>
    </xf>
    <xf numFmtId="1" fontId="76" fillId="35" borderId="19" xfId="0" applyNumberFormat="1" applyFont="1" applyFill="1" applyBorder="1" applyAlignment="1">
      <alignment horizontal="center" vertical="center"/>
    </xf>
    <xf numFmtId="1" fontId="76" fillId="0" borderId="8" xfId="0" applyNumberFormat="1" applyFont="1" applyBorder="1" applyAlignment="1">
      <alignment horizontal="center" vertical="center"/>
    </xf>
    <xf numFmtId="1" fontId="76" fillId="0" borderId="2" xfId="0" applyNumberFormat="1" applyFont="1" applyBorder="1" applyAlignment="1">
      <alignment horizontal="center" vertical="center"/>
    </xf>
    <xf numFmtId="1" fontId="76" fillId="0" borderId="7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76" fillId="0" borderId="2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2" fontId="52" fillId="35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6" fillId="35" borderId="3" xfId="0" applyFont="1" applyFill="1" applyBorder="1" applyAlignment="1">
      <alignment horizontal="left" vertical="center"/>
    </xf>
    <xf numFmtId="0" fontId="5" fillId="35" borderId="3" xfId="0" applyFont="1" applyFill="1" applyBorder="1" applyAlignment="1">
      <alignment horizontal="center" vertical="center" wrapText="1"/>
    </xf>
    <xf numFmtId="0" fontId="5" fillId="35" borderId="3" xfId="0" applyNumberFormat="1" applyFont="1" applyFill="1" applyBorder="1" applyAlignment="1">
      <alignment horizontal="center" vertical="center"/>
    </xf>
    <xf numFmtId="2" fontId="5" fillId="35" borderId="3" xfId="0" applyNumberFormat="1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2" fontId="53" fillId="37" borderId="24" xfId="0" applyNumberFormat="1" applyFont="1" applyFill="1" applyBorder="1" applyAlignment="1">
      <alignment vertical="center"/>
    </xf>
    <xf numFmtId="2" fontId="53" fillId="37" borderId="25" xfId="0" applyNumberFormat="1" applyFont="1" applyFill="1" applyBorder="1" applyAlignment="1">
      <alignment vertical="center"/>
    </xf>
    <xf numFmtId="2" fontId="53" fillId="37" borderId="23" xfId="0" applyNumberFormat="1" applyFont="1" applyFill="1" applyBorder="1" applyAlignment="1">
      <alignment vertical="center"/>
    </xf>
    <xf numFmtId="0" fontId="50" fillId="37" borderId="25" xfId="0" applyNumberFormat="1" applyFont="1" applyFill="1" applyBorder="1" applyAlignment="1">
      <alignment horizontal="right" vertical="center"/>
    </xf>
    <xf numFmtId="0" fontId="53" fillId="37" borderId="25" xfId="0" applyFont="1" applyFill="1" applyBorder="1" applyAlignment="1">
      <alignment horizontal="center" vertical="center"/>
    </xf>
    <xf numFmtId="0" fontId="50" fillId="37" borderId="25" xfId="0" applyFont="1" applyFill="1" applyBorder="1" applyAlignment="1">
      <alignment horizontal="right" vertical="center"/>
    </xf>
    <xf numFmtId="0" fontId="22" fillId="37" borderId="23" xfId="0" applyFont="1" applyFill="1" applyBorder="1" applyAlignment="1">
      <alignment horizontal="left" vertical="center"/>
    </xf>
    <xf numFmtId="2" fontId="6" fillId="35" borderId="0" xfId="0" applyNumberFormat="1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1" fontId="54" fillId="0" borderId="2" xfId="0" applyNumberFormat="1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" fontId="76" fillId="35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 wrapText="1"/>
    </xf>
    <xf numFmtId="2" fontId="53" fillId="38" borderId="24" xfId="0" applyNumberFormat="1" applyFont="1" applyFill="1" applyBorder="1" applyAlignment="1">
      <alignment vertical="center"/>
    </xf>
    <xf numFmtId="2" fontId="53" fillId="38" borderId="25" xfId="0" applyNumberFormat="1" applyFont="1" applyFill="1" applyBorder="1" applyAlignment="1">
      <alignment vertical="center"/>
    </xf>
    <xf numFmtId="2" fontId="52" fillId="38" borderId="25" xfId="0" applyNumberFormat="1" applyFont="1" applyFill="1" applyBorder="1" applyAlignment="1">
      <alignment vertical="center"/>
    </xf>
    <xf numFmtId="0" fontId="50" fillId="38" borderId="25" xfId="0" applyFont="1" applyFill="1" applyBorder="1" applyAlignment="1">
      <alignment horizontal="right" vertical="center"/>
    </xf>
    <xf numFmtId="0" fontId="22" fillId="38" borderId="23" xfId="0" applyFont="1" applyFill="1" applyBorder="1" applyAlignment="1">
      <alignment horizontal="left" vertical="center"/>
    </xf>
    <xf numFmtId="2" fontId="50" fillId="37" borderId="2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5" fillId="35" borderId="8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2" fontId="5" fillId="35" borderId="2" xfId="0" applyNumberFormat="1" applyFont="1" applyFill="1" applyBorder="1" applyAlignment="1">
      <alignment horizontal="center" vertical="center"/>
    </xf>
    <xf numFmtId="0" fontId="6" fillId="35" borderId="8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center" vertical="center" wrapText="1"/>
    </xf>
    <xf numFmtId="2" fontId="5" fillId="35" borderId="8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50" fillId="35" borderId="0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52" fillId="35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5" fillId="36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/>
    </xf>
    <xf numFmtId="0" fontId="50" fillId="37" borderId="29" xfId="0" applyFont="1" applyFill="1" applyBorder="1" applyAlignment="1">
      <alignment horizontal="center" vertical="center"/>
    </xf>
    <xf numFmtId="0" fontId="50" fillId="37" borderId="26" xfId="0" applyFont="1" applyFill="1" applyBorder="1" applyAlignment="1">
      <alignment horizontal="center" vertical="center"/>
    </xf>
    <xf numFmtId="0" fontId="50" fillId="38" borderId="23" xfId="0" applyFont="1" applyFill="1" applyBorder="1" applyAlignment="1">
      <alignment horizontal="center" vertical="center"/>
    </xf>
    <xf numFmtId="0" fontId="5" fillId="35" borderId="8" xfId="0" applyNumberFormat="1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" fontId="7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" fontId="76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55" fillId="0" borderId="0" xfId="37" applyFont="1" applyAlignment="1">
      <alignment vertical="center" wrapText="1"/>
    </xf>
    <xf numFmtId="0" fontId="55" fillId="0" borderId="0" xfId="37" applyFont="1" applyAlignment="1">
      <alignment horizontal="center" vertical="center"/>
    </xf>
    <xf numFmtId="0" fontId="55" fillId="0" borderId="0" xfId="37" applyFont="1" applyFill="1" applyAlignment="1">
      <alignment horizontal="center" vertical="center" wrapText="1"/>
    </xf>
    <xf numFmtId="0" fontId="55" fillId="0" borderId="0" xfId="37" applyFont="1" applyAlignment="1">
      <alignment horizontal="center" vertical="center" wrapText="1"/>
    </xf>
    <xf numFmtId="0" fontId="55" fillId="0" borderId="2" xfId="37" applyFont="1" applyBorder="1" applyAlignment="1">
      <alignment horizontal="center" vertical="center" wrapText="1"/>
    </xf>
    <xf numFmtId="0" fontId="55" fillId="0" borderId="42" xfId="37" applyFont="1" applyBorder="1" applyAlignment="1">
      <alignment vertical="center" wrapText="1"/>
    </xf>
    <xf numFmtId="0" fontId="55" fillId="0" borderId="42" xfId="37" applyFont="1" applyBorder="1" applyAlignment="1">
      <alignment horizontal="center" vertical="center"/>
    </xf>
    <xf numFmtId="3" fontId="56" fillId="0" borderId="42" xfId="37" applyNumberFormat="1" applyFont="1" applyFill="1" applyBorder="1" applyAlignment="1">
      <alignment horizontal="center" vertical="center"/>
    </xf>
    <xf numFmtId="3" fontId="55" fillId="0" borderId="42" xfId="37" applyNumberFormat="1" applyFont="1" applyFill="1" applyBorder="1" applyAlignment="1">
      <alignment horizontal="center" vertical="center"/>
    </xf>
    <xf numFmtId="0" fontId="55" fillId="0" borderId="42" xfId="37" applyFont="1" applyBorder="1" applyAlignment="1">
      <alignment horizontal="center" vertical="center" wrapText="1"/>
    </xf>
    <xf numFmtId="166" fontId="56" fillId="0" borderId="42" xfId="37" applyNumberFormat="1" applyFont="1" applyFill="1" applyBorder="1" applyAlignment="1">
      <alignment horizontal="center" vertical="center"/>
    </xf>
    <xf numFmtId="9" fontId="55" fillId="0" borderId="42" xfId="42" applyFont="1" applyFill="1" applyBorder="1" applyAlignment="1">
      <alignment horizontal="center" vertical="center"/>
    </xf>
    <xf numFmtId="166" fontId="55" fillId="0" borderId="42" xfId="37" applyNumberFormat="1" applyFont="1" applyFill="1" applyBorder="1" applyAlignment="1">
      <alignment horizontal="center" vertical="center"/>
    </xf>
    <xf numFmtId="0" fontId="55" fillId="0" borderId="42" xfId="37" applyFont="1" applyBorder="1" applyAlignment="1">
      <alignment horizontal="left" vertical="center" wrapText="1"/>
    </xf>
    <xf numFmtId="3" fontId="55" fillId="41" borderId="42" xfId="37" applyNumberFormat="1" applyFont="1" applyFill="1" applyBorder="1" applyAlignment="1">
      <alignment horizontal="center" vertical="center"/>
    </xf>
    <xf numFmtId="0" fontId="55" fillId="0" borderId="42" xfId="37" applyFont="1" applyFill="1" applyBorder="1" applyAlignment="1">
      <alignment horizontal="center" vertical="center"/>
    </xf>
    <xf numFmtId="0" fontId="55" fillId="0" borderId="42" xfId="37" applyFont="1" applyFill="1" applyBorder="1" applyAlignment="1">
      <alignment horizontal="center" vertical="center" wrapText="1"/>
    </xf>
    <xf numFmtId="0" fontId="55" fillId="0" borderId="0" xfId="37" applyFont="1" applyFill="1" applyAlignment="1">
      <alignment vertical="center" wrapText="1"/>
    </xf>
    <xf numFmtId="3" fontId="55" fillId="40" borderId="42" xfId="37" applyNumberFormat="1" applyFont="1" applyFill="1" applyBorder="1" applyAlignment="1">
      <alignment horizontal="center" vertical="center"/>
    </xf>
    <xf numFmtId="4" fontId="55" fillId="0" borderId="42" xfId="37" applyNumberFormat="1" applyFont="1" applyFill="1" applyBorder="1" applyAlignment="1">
      <alignment horizontal="center" vertical="center"/>
    </xf>
    <xf numFmtId="3" fontId="55" fillId="36" borderId="42" xfId="37" applyNumberFormat="1" applyFont="1" applyFill="1" applyBorder="1" applyAlignment="1">
      <alignment horizontal="center" vertical="center"/>
    </xf>
    <xf numFmtId="9" fontId="55" fillId="36" borderId="42" xfId="42" applyFont="1" applyFill="1" applyBorder="1" applyAlignment="1">
      <alignment horizontal="center" vertical="center"/>
    </xf>
    <xf numFmtId="167" fontId="55" fillId="0" borderId="42" xfId="37" applyNumberFormat="1" applyFont="1" applyFill="1" applyBorder="1" applyAlignment="1">
      <alignment horizontal="center" vertical="center"/>
    </xf>
    <xf numFmtId="0" fontId="55" fillId="0" borderId="43" xfId="37" applyFont="1" applyBorder="1" applyAlignment="1">
      <alignment horizontal="center" vertical="center"/>
    </xf>
    <xf numFmtId="3" fontId="55" fillId="0" borderId="43" xfId="37" applyNumberFormat="1" applyFont="1" applyFill="1" applyBorder="1" applyAlignment="1">
      <alignment horizontal="center" vertical="center"/>
    </xf>
    <xf numFmtId="3" fontId="57" fillId="0" borderId="43" xfId="37" applyNumberFormat="1" applyFont="1" applyFill="1" applyBorder="1" applyAlignment="1">
      <alignment horizontal="center" vertical="center"/>
    </xf>
    <xf numFmtId="0" fontId="55" fillId="0" borderId="43" xfId="37" applyFont="1" applyBorder="1" applyAlignment="1">
      <alignment horizontal="center" vertical="center" wrapText="1"/>
    </xf>
    <xf numFmtId="0" fontId="55" fillId="0" borderId="44" xfId="37" applyFont="1" applyBorder="1" applyAlignment="1">
      <alignment horizontal="center" vertical="center"/>
    </xf>
    <xf numFmtId="3" fontId="55" fillId="0" borderId="44" xfId="37" applyNumberFormat="1" applyFont="1" applyFill="1" applyBorder="1" applyAlignment="1">
      <alignment horizontal="center" vertical="center"/>
    </xf>
    <xf numFmtId="0" fontId="55" fillId="0" borderId="44" xfId="37" applyFont="1" applyBorder="1" applyAlignment="1">
      <alignment horizontal="center" vertical="center" wrapText="1"/>
    </xf>
    <xf numFmtId="167" fontId="55" fillId="0" borderId="42" xfId="42" applyNumberFormat="1" applyFont="1" applyFill="1" applyBorder="1" applyAlignment="1">
      <alignment horizontal="center" vertical="center"/>
    </xf>
    <xf numFmtId="0" fontId="55" fillId="0" borderId="45" xfId="37" applyFont="1" applyBorder="1" applyAlignment="1">
      <alignment horizontal="center" vertical="center"/>
    </xf>
    <xf numFmtId="3" fontId="55" fillId="0" borderId="45" xfId="37" applyNumberFormat="1" applyFont="1" applyFill="1" applyBorder="1" applyAlignment="1">
      <alignment horizontal="center" vertical="center"/>
    </xf>
    <xf numFmtId="0" fontId="55" fillId="0" borderId="45" xfId="37" applyFont="1" applyBorder="1" applyAlignment="1">
      <alignment horizontal="center" vertical="center" wrapText="1"/>
    </xf>
    <xf numFmtId="0" fontId="58" fillId="0" borderId="42" xfId="37" applyFont="1" applyBorder="1" applyAlignment="1">
      <alignment horizontal="left" vertical="center" wrapText="1"/>
    </xf>
    <xf numFmtId="3" fontId="55" fillId="44" borderId="42" xfId="37" applyNumberFormat="1" applyFont="1" applyFill="1" applyBorder="1" applyAlignment="1">
      <alignment horizontal="center" vertical="center"/>
    </xf>
    <xf numFmtId="0" fontId="58" fillId="0" borderId="42" xfId="37" applyFont="1" applyBorder="1" applyAlignment="1">
      <alignment vertical="center" wrapText="1"/>
    </xf>
    <xf numFmtId="3" fontId="55" fillId="0" borderId="0" xfId="37" applyNumberFormat="1" applyFont="1" applyAlignment="1">
      <alignment horizontal="center" vertical="center" wrapText="1"/>
    </xf>
    <xf numFmtId="0" fontId="59" fillId="0" borderId="42" xfId="37" applyFont="1" applyBorder="1" applyAlignment="1">
      <alignment horizontal="center" vertical="center" wrapText="1"/>
    </xf>
    <xf numFmtId="0" fontId="59" fillId="0" borderId="43" xfId="37" applyFont="1" applyBorder="1" applyAlignment="1">
      <alignment horizontal="right" vertical="center" wrapText="1"/>
    </xf>
    <xf numFmtId="0" fontId="59" fillId="0" borderId="44" xfId="37" applyFont="1" applyBorder="1" applyAlignment="1">
      <alignment horizontal="center" vertical="center" wrapText="1"/>
    </xf>
    <xf numFmtId="0" fontId="59" fillId="0" borderId="45" xfId="37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55" fillId="0" borderId="45" xfId="37" applyFont="1" applyBorder="1" applyAlignment="1">
      <alignment vertical="center" wrapText="1"/>
    </xf>
    <xf numFmtId="166" fontId="55" fillId="45" borderId="42" xfId="37" applyNumberFormat="1" applyFont="1" applyFill="1" applyBorder="1" applyAlignment="1">
      <alignment horizontal="center" vertical="center"/>
    </xf>
    <xf numFmtId="3" fontId="55" fillId="45" borderId="42" xfId="37" applyNumberFormat="1" applyFont="1" applyFill="1" applyBorder="1" applyAlignment="1">
      <alignment horizontal="center" vertical="center"/>
    </xf>
    <xf numFmtId="3" fontId="55" fillId="46" borderId="42" xfId="37" applyNumberFormat="1" applyFont="1" applyFill="1" applyBorder="1" applyAlignment="1">
      <alignment horizontal="center" vertical="center"/>
    </xf>
    <xf numFmtId="4" fontId="55" fillId="45" borderId="42" xfId="37" applyNumberFormat="1" applyFont="1" applyFill="1" applyBorder="1" applyAlignment="1">
      <alignment horizontal="center" vertical="center"/>
    </xf>
    <xf numFmtId="0" fontId="55" fillId="0" borderId="46" xfId="37" applyFont="1" applyBorder="1" applyAlignment="1">
      <alignment vertical="center"/>
    </xf>
    <xf numFmtId="0" fontId="55" fillId="0" borderId="42" xfId="37" applyFont="1" applyBorder="1" applyAlignment="1">
      <alignment horizontal="left" vertical="center"/>
    </xf>
    <xf numFmtId="0" fontId="55" fillId="0" borderId="0" xfId="37" applyFont="1" applyBorder="1" applyAlignment="1">
      <alignment vertical="center" wrapText="1"/>
    </xf>
    <xf numFmtId="0" fontId="60" fillId="0" borderId="42" xfId="37" applyFont="1" applyBorder="1" applyAlignment="1">
      <alignment horizontal="left" vertical="center"/>
    </xf>
    <xf numFmtId="0" fontId="60" fillId="0" borderId="0" xfId="37" applyFont="1" applyAlignment="1">
      <alignment vertical="center" wrapText="1"/>
    </xf>
    <xf numFmtId="0" fontId="55" fillId="0" borderId="0" xfId="37" applyFont="1" applyAlignment="1">
      <alignment vertical="center" wrapText="1"/>
    </xf>
    <xf numFmtId="0" fontId="55" fillId="0" borderId="0" xfId="37" applyFont="1" applyAlignment="1">
      <alignment horizontal="center" vertical="center" wrapText="1"/>
    </xf>
    <xf numFmtId="0" fontId="55" fillId="0" borderId="42" xfId="37" applyFont="1" applyBorder="1" applyAlignment="1">
      <alignment horizontal="center" vertical="center"/>
    </xf>
    <xf numFmtId="3" fontId="55" fillId="0" borderId="42" xfId="37" applyNumberFormat="1" applyFont="1" applyFill="1" applyBorder="1" applyAlignment="1">
      <alignment horizontal="center" vertical="center"/>
    </xf>
    <xf numFmtId="0" fontId="55" fillId="0" borderId="42" xfId="37" applyFont="1" applyBorder="1" applyAlignment="1">
      <alignment horizontal="center" vertical="center" wrapText="1"/>
    </xf>
    <xf numFmtId="9" fontId="55" fillId="0" borderId="42" xfId="42" applyFont="1" applyFill="1" applyBorder="1" applyAlignment="1">
      <alignment horizontal="center" vertical="center"/>
    </xf>
    <xf numFmtId="166" fontId="55" fillId="0" borderId="42" xfId="37" applyNumberFormat="1" applyFont="1" applyFill="1" applyBorder="1" applyAlignment="1">
      <alignment horizontal="center" vertical="center"/>
    </xf>
    <xf numFmtId="0" fontId="55" fillId="0" borderId="42" xfId="37" applyFont="1" applyFill="1" applyBorder="1" applyAlignment="1">
      <alignment horizontal="center" vertical="center"/>
    </xf>
    <xf numFmtId="167" fontId="55" fillId="0" borderId="42" xfId="42" applyNumberFormat="1" applyFont="1" applyFill="1" applyBorder="1" applyAlignment="1">
      <alignment horizontal="center" vertical="center"/>
    </xf>
    <xf numFmtId="4" fontId="55" fillId="0" borderId="42" xfId="37" applyNumberFormat="1" applyFont="1" applyFill="1" applyBorder="1" applyAlignment="1">
      <alignment horizontal="center" vertical="center"/>
    </xf>
    <xf numFmtId="0" fontId="55" fillId="0" borderId="45" xfId="37" applyFont="1" applyBorder="1" applyAlignment="1">
      <alignment horizontal="center" vertical="center" wrapText="1"/>
    </xf>
    <xf numFmtId="0" fontId="55" fillId="0" borderId="47" xfId="37" applyFont="1" applyBorder="1" applyAlignment="1">
      <alignment horizontal="center" vertical="center" wrapText="1"/>
    </xf>
    <xf numFmtId="0" fontId="55" fillId="0" borderId="20" xfId="37" applyFont="1" applyBorder="1" applyAlignment="1">
      <alignment horizontal="center" vertical="center" wrapText="1"/>
    </xf>
    <xf numFmtId="0" fontId="55" fillId="0" borderId="0" xfId="37" applyFont="1" applyFill="1" applyBorder="1" applyAlignment="1">
      <alignment horizontal="left" vertical="center"/>
    </xf>
    <xf numFmtId="0" fontId="55" fillId="0" borderId="20" xfId="37" applyFont="1" applyBorder="1" applyAlignment="1">
      <alignment vertical="center" wrapText="1"/>
    </xf>
    <xf numFmtId="3" fontId="55" fillId="47" borderId="42" xfId="37" applyNumberFormat="1" applyFont="1" applyFill="1" applyBorder="1" applyAlignment="1">
      <alignment horizontal="center" vertical="center"/>
    </xf>
    <xf numFmtId="166" fontId="55" fillId="47" borderId="42" xfId="37" applyNumberFormat="1" applyFont="1" applyFill="1" applyBorder="1" applyAlignment="1">
      <alignment horizontal="center" vertical="center"/>
    </xf>
    <xf numFmtId="4" fontId="55" fillId="47" borderId="42" xfId="37" applyNumberFormat="1" applyFont="1" applyFill="1" applyBorder="1" applyAlignment="1">
      <alignment horizontal="center" vertical="center"/>
    </xf>
    <xf numFmtId="0" fontId="55" fillId="45" borderId="42" xfId="37" applyFont="1" applyFill="1" applyBorder="1" applyAlignment="1">
      <alignment horizontal="left" vertical="center" wrapText="1"/>
    </xf>
    <xf numFmtId="0" fontId="55" fillId="45" borderId="42" xfId="37" applyFont="1" applyFill="1" applyBorder="1" applyAlignment="1">
      <alignment horizontal="left" vertical="center"/>
    </xf>
    <xf numFmtId="0" fontId="55" fillId="41" borderId="42" xfId="37" applyFont="1" applyFill="1" applyBorder="1" applyAlignment="1">
      <alignment horizontal="center" vertical="center" wrapText="1"/>
    </xf>
    <xf numFmtId="0" fontId="60" fillId="0" borderId="42" xfId="37" applyFont="1" applyBorder="1" applyAlignment="1">
      <alignment horizontal="center" vertical="center" wrapText="1"/>
    </xf>
    <xf numFmtId="0" fontId="61" fillId="0" borderId="42" xfId="37" applyFont="1" applyFill="1" applyBorder="1" applyAlignment="1">
      <alignment horizontal="center" vertical="center" wrapText="1"/>
    </xf>
    <xf numFmtId="0" fontId="55" fillId="0" borderId="48" xfId="37" applyFont="1" applyBorder="1" applyAlignment="1">
      <alignment horizontal="center" vertical="center" wrapText="1"/>
    </xf>
    <xf numFmtId="0" fontId="55" fillId="0" borderId="48" xfId="37" applyFont="1" applyFill="1" applyBorder="1" applyAlignment="1">
      <alignment horizontal="center" vertical="center" wrapText="1"/>
    </xf>
    <xf numFmtId="0" fontId="55" fillId="0" borderId="18" xfId="37" applyFont="1" applyBorder="1" applyAlignment="1">
      <alignment vertical="center" wrapText="1"/>
    </xf>
    <xf numFmtId="0" fontId="55" fillId="0" borderId="9" xfId="37" applyFont="1" applyBorder="1" applyAlignment="1">
      <alignment vertical="center" wrapText="1"/>
    </xf>
    <xf numFmtId="0" fontId="55" fillId="0" borderId="49" xfId="37" applyFont="1" applyBorder="1" applyAlignment="1">
      <alignment vertical="center" wrapText="1"/>
    </xf>
    <xf numFmtId="0" fontId="55" fillId="0" borderId="6" xfId="37" applyFont="1" applyBorder="1" applyAlignment="1">
      <alignment vertical="center" wrapText="1"/>
    </xf>
    <xf numFmtId="0" fontId="55" fillId="0" borderId="26" xfId="37" applyFont="1" applyBorder="1" applyAlignment="1">
      <alignment vertical="center" wrapText="1"/>
    </xf>
    <xf numFmtId="0" fontId="55" fillId="0" borderId="14" xfId="37" applyFont="1" applyBorder="1" applyAlignment="1">
      <alignment horizontal="center" vertical="center" wrapText="1"/>
    </xf>
    <xf numFmtId="0" fontId="55" fillId="0" borderId="15" xfId="37" applyFont="1" applyBorder="1" applyAlignment="1">
      <alignment horizontal="center" vertical="center" wrapText="1"/>
    </xf>
    <xf numFmtId="0" fontId="60" fillId="0" borderId="5" xfId="37" applyFont="1" applyBorder="1" applyAlignment="1">
      <alignment vertical="center" wrapText="1"/>
    </xf>
    <xf numFmtId="0" fontId="60" fillId="0" borderId="12" xfId="37" applyFont="1" applyBorder="1" applyAlignment="1">
      <alignment vertical="center" wrapText="1"/>
    </xf>
    <xf numFmtId="0" fontId="55" fillId="0" borderId="18" xfId="37" applyFont="1" applyFill="1" applyBorder="1" applyAlignment="1">
      <alignment vertical="center" wrapText="1"/>
    </xf>
    <xf numFmtId="0" fontId="55" fillId="0" borderId="9" xfId="37" applyFont="1" applyFill="1" applyBorder="1" applyAlignment="1">
      <alignment vertical="center" wrapText="1"/>
    </xf>
    <xf numFmtId="0" fontId="55" fillId="0" borderId="9" xfId="37" applyFont="1" applyBorder="1" applyAlignment="1">
      <alignment horizontal="center" vertical="center" wrapText="1"/>
    </xf>
    <xf numFmtId="166" fontId="55" fillId="0" borderId="14" xfId="37" applyNumberFormat="1" applyFont="1" applyBorder="1" applyAlignment="1">
      <alignment vertical="center" wrapText="1"/>
    </xf>
    <xf numFmtId="3" fontId="55" fillId="0" borderId="15" xfId="37" applyNumberFormat="1" applyFont="1" applyBorder="1" applyAlignment="1">
      <alignment horizontal="center" vertical="center" wrapText="1"/>
    </xf>
    <xf numFmtId="0" fontId="60" fillId="0" borderId="9" xfId="37" applyFont="1" applyBorder="1" applyAlignment="1">
      <alignment vertical="center" wrapText="1"/>
    </xf>
    <xf numFmtId="0" fontId="55" fillId="0" borderId="40" xfId="37" applyFont="1" applyBorder="1" applyAlignment="1">
      <alignment horizontal="center" vertical="center" wrapText="1"/>
    </xf>
    <xf numFmtId="3" fontId="56" fillId="45" borderId="42" xfId="37" applyNumberFormat="1" applyFont="1" applyFill="1" applyBorder="1" applyAlignment="1">
      <alignment horizontal="center" vertical="center"/>
    </xf>
    <xf numFmtId="3" fontId="56" fillId="47" borderId="42" xfId="37" applyNumberFormat="1" applyFont="1" applyFill="1" applyBorder="1" applyAlignment="1">
      <alignment horizontal="center" vertical="center"/>
    </xf>
    <xf numFmtId="0" fontId="55" fillId="0" borderId="50" xfId="37" applyFont="1" applyBorder="1" applyAlignment="1">
      <alignment horizontal="center" vertical="center" wrapText="1"/>
    </xf>
    <xf numFmtId="0" fontId="55" fillId="45" borderId="51" xfId="37" applyFont="1" applyFill="1" applyBorder="1" applyAlignment="1">
      <alignment vertical="center" wrapText="1"/>
    </xf>
    <xf numFmtId="0" fontId="55" fillId="0" borderId="36" xfId="37" applyFont="1" applyBorder="1" applyAlignment="1">
      <alignment horizontal="left" vertical="top"/>
    </xf>
    <xf numFmtId="0" fontId="55" fillId="0" borderId="36" xfId="37" applyFont="1" applyBorder="1" applyAlignment="1">
      <alignment vertical="center" wrapText="1"/>
    </xf>
    <xf numFmtId="0" fontId="55" fillId="0" borderId="29" xfId="37" applyFont="1" applyBorder="1" applyAlignment="1">
      <alignment vertical="center" wrapText="1"/>
    </xf>
    <xf numFmtId="0" fontId="55" fillId="47" borderId="52" xfId="37" applyFont="1" applyFill="1" applyBorder="1" applyAlignment="1">
      <alignment vertical="center" wrapText="1"/>
    </xf>
    <xf numFmtId="0" fontId="55" fillId="0" borderId="0" xfId="37" applyFont="1" applyBorder="1" applyAlignment="1">
      <alignment horizontal="left" vertical="top"/>
    </xf>
    <xf numFmtId="0" fontId="55" fillId="0" borderId="53" xfId="37" applyFont="1" applyBorder="1" applyAlignment="1">
      <alignment vertical="center" wrapText="1"/>
    </xf>
    <xf numFmtId="0" fontId="55" fillId="0" borderId="6" xfId="37" applyFont="1" applyBorder="1" applyAlignment="1">
      <alignment horizontal="left" vertical="top"/>
    </xf>
    <xf numFmtId="0" fontId="55" fillId="46" borderId="52" xfId="37" applyFont="1" applyFill="1" applyBorder="1" applyAlignment="1">
      <alignment vertical="center" wrapText="1"/>
    </xf>
    <xf numFmtId="3" fontId="56" fillId="47" borderId="45" xfId="37" applyNumberFormat="1" applyFont="1" applyFill="1" applyBorder="1" applyAlignment="1">
      <alignment horizontal="center" vertical="center"/>
    </xf>
    <xf numFmtId="0" fontId="55" fillId="0" borderId="0" xfId="37" applyFont="1" applyBorder="1" applyAlignment="1">
      <alignment horizontal="left" vertical="center"/>
    </xf>
    <xf numFmtId="43" fontId="55" fillId="45" borderId="16" xfId="37" applyNumberFormat="1" applyFont="1" applyFill="1" applyBorder="1" applyAlignment="1">
      <alignment vertical="center" wrapText="1"/>
    </xf>
    <xf numFmtId="43" fontId="55" fillId="45" borderId="4" xfId="37" applyNumberFormat="1" applyFont="1" applyFill="1" applyBorder="1" applyAlignment="1">
      <alignment horizontal="center" vertical="center" wrapText="1"/>
    </xf>
    <xf numFmtId="43" fontId="55" fillId="45" borderId="4" xfId="37" applyNumberFormat="1" applyFont="1" applyFill="1" applyBorder="1" applyAlignment="1">
      <alignment vertical="center" wrapText="1"/>
    </xf>
    <xf numFmtId="43" fontId="55" fillId="45" borderId="16" xfId="37" applyNumberFormat="1" applyFont="1" applyFill="1" applyBorder="1" applyAlignment="1">
      <alignment horizontal="center" vertical="center" wrapText="1"/>
    </xf>
    <xf numFmtId="0" fontId="55" fillId="0" borderId="45" xfId="37" applyFont="1" applyBorder="1" applyAlignment="1">
      <alignment horizontal="center" vertical="center" wrapText="1"/>
    </xf>
    <xf numFmtId="0" fontId="55" fillId="0" borderId="0" xfId="37" applyFont="1" applyAlignment="1">
      <alignment vertical="center"/>
    </xf>
    <xf numFmtId="0" fontId="55" fillId="0" borderId="47" xfId="37" applyFont="1" applyBorder="1" applyAlignment="1">
      <alignment horizontal="center" vertical="center" wrapText="1"/>
    </xf>
    <xf numFmtId="0" fontId="55" fillId="0" borderId="45" xfId="37" applyFont="1" applyBorder="1" applyAlignment="1">
      <alignment horizontal="center" vertical="center" wrapText="1"/>
    </xf>
    <xf numFmtId="0" fontId="55" fillId="0" borderId="20" xfId="37" applyFont="1" applyBorder="1" applyAlignment="1">
      <alignment horizontal="center" vertical="center" wrapText="1"/>
    </xf>
    <xf numFmtId="0" fontId="55" fillId="0" borderId="54" xfId="37" applyFont="1" applyBorder="1" applyAlignment="1">
      <alignment horizontal="left" vertical="center" wrapText="1"/>
    </xf>
    <xf numFmtId="0" fontId="55" fillId="0" borderId="47" xfId="37" applyFont="1" applyBorder="1" applyAlignment="1">
      <alignment horizontal="center" vertical="center" wrapText="1"/>
    </xf>
    <xf numFmtId="0" fontId="55" fillId="0" borderId="54" xfId="37" applyFont="1" applyFill="1" applyBorder="1" applyAlignment="1">
      <alignment horizontal="left" vertical="center" wrapText="1"/>
    </xf>
    <xf numFmtId="0" fontId="55" fillId="0" borderId="54" xfId="37" applyFont="1" applyBorder="1" applyAlignment="1">
      <alignment horizontal="center" vertical="center"/>
    </xf>
    <xf numFmtId="43" fontId="55" fillId="45" borderId="54" xfId="37" applyNumberFormat="1" applyFont="1" applyFill="1" applyBorder="1" applyAlignment="1">
      <alignment vertical="center" wrapText="1"/>
    </xf>
    <xf numFmtId="0" fontId="55" fillId="49" borderId="45" xfId="37" applyFont="1" applyFill="1" applyBorder="1" applyAlignment="1">
      <alignment horizontal="center" vertical="center" wrapText="1"/>
    </xf>
    <xf numFmtId="0" fontId="55" fillId="49" borderId="42" xfId="3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5" fillId="0" borderId="55" xfId="37" applyFont="1" applyBorder="1" applyAlignment="1">
      <alignment vertical="center" wrapText="1"/>
    </xf>
    <xf numFmtId="0" fontId="55" fillId="43" borderId="42" xfId="37" applyFont="1" applyFill="1" applyBorder="1" applyAlignment="1">
      <alignment horizontal="left" vertical="center"/>
    </xf>
    <xf numFmtId="0" fontId="61" fillId="41" borderId="42" xfId="37" applyFont="1" applyFill="1" applyBorder="1" applyAlignment="1">
      <alignment horizontal="center" vertical="center" wrapText="1"/>
    </xf>
    <xf numFmtId="0" fontId="55" fillId="0" borderId="5" xfId="37" applyFont="1" applyBorder="1" applyAlignment="1">
      <alignment horizontal="center" vertical="center" wrapText="1"/>
    </xf>
    <xf numFmtId="0" fontId="55" fillId="0" borderId="24" xfId="37" applyFont="1" applyBorder="1" applyAlignment="1">
      <alignment vertical="center" wrapText="1"/>
    </xf>
    <xf numFmtId="43" fontId="55" fillId="47" borderId="24" xfId="37" applyNumberFormat="1" applyFont="1" applyFill="1" applyBorder="1" applyAlignment="1">
      <alignment vertical="center" wrapText="1"/>
    </xf>
    <xf numFmtId="43" fontId="55" fillId="0" borderId="12" xfId="37" applyNumberFormat="1" applyFont="1" applyBorder="1" applyAlignment="1">
      <alignment horizontal="center" vertical="center" wrapText="1"/>
    </xf>
    <xf numFmtId="43" fontId="55" fillId="0" borderId="12" xfId="37" applyNumberFormat="1" applyFont="1" applyBorder="1" applyAlignment="1">
      <alignment vertical="center" wrapText="1"/>
    </xf>
    <xf numFmtId="41" fontId="55" fillId="47" borderId="56" xfId="37" applyNumberFormat="1" applyFont="1" applyFill="1" applyBorder="1" applyAlignment="1">
      <alignment vertical="center" wrapText="1"/>
    </xf>
    <xf numFmtId="41" fontId="55" fillId="0" borderId="56" xfId="37" applyNumberFormat="1" applyFont="1" applyBorder="1" applyAlignment="1">
      <alignment horizontal="center" vertical="center" wrapText="1"/>
    </xf>
    <xf numFmtId="41" fontId="55" fillId="0" borderId="56" xfId="37" applyNumberFormat="1" applyFont="1" applyBorder="1" applyAlignment="1">
      <alignment vertical="center" wrapText="1"/>
    </xf>
    <xf numFmtId="0" fontId="55" fillId="0" borderId="40" xfId="37" applyFont="1" applyBorder="1" applyAlignment="1">
      <alignment vertical="center" wrapText="1"/>
    </xf>
    <xf numFmtId="0" fontId="60" fillId="0" borderId="40" xfId="37" applyFont="1" applyBorder="1" applyAlignment="1">
      <alignment horizontal="center" vertical="center" wrapText="1"/>
    </xf>
    <xf numFmtId="0" fontId="60" fillId="0" borderId="40" xfId="37" applyFont="1" applyBorder="1" applyAlignment="1">
      <alignment vertical="center" wrapText="1"/>
    </xf>
    <xf numFmtId="0" fontId="55" fillId="0" borderId="57" xfId="37" applyFont="1" applyBorder="1" applyAlignment="1">
      <alignment horizontal="center" vertical="center" wrapText="1"/>
    </xf>
    <xf numFmtId="0" fontId="61" fillId="0" borderId="0" xfId="37" applyFont="1" applyBorder="1" applyAlignment="1">
      <alignment vertical="center"/>
    </xf>
    <xf numFmtId="0" fontId="61" fillId="0" borderId="0" xfId="37" applyFont="1" applyBorder="1" applyAlignment="1">
      <alignment vertical="center" wrapText="1"/>
    </xf>
    <xf numFmtId="0" fontId="55" fillId="0" borderId="45" xfId="37" applyFont="1" applyBorder="1" applyAlignment="1">
      <alignment horizontal="center" vertical="center" wrapText="1"/>
    </xf>
    <xf numFmtId="3" fontId="57" fillId="0" borderId="42" xfId="37" applyNumberFormat="1" applyFont="1" applyFill="1" applyBorder="1" applyAlignment="1">
      <alignment horizontal="center" vertical="center"/>
    </xf>
    <xf numFmtId="0" fontId="55" fillId="0" borderId="54" xfId="37" applyFont="1" applyBorder="1" applyAlignment="1">
      <alignment horizontal="center" vertical="center"/>
    </xf>
    <xf numFmtId="0" fontId="55" fillId="0" borderId="45" xfId="37" applyFont="1" applyBorder="1" applyAlignment="1">
      <alignment horizontal="center" vertical="center" wrapText="1"/>
    </xf>
    <xf numFmtId="0" fontId="55" fillId="0" borderId="58" xfId="37" applyFont="1" applyBorder="1" applyAlignment="1">
      <alignment horizontal="center" vertical="center" wrapText="1"/>
    </xf>
    <xf numFmtId="43" fontId="55" fillId="45" borderId="59" xfId="37" applyNumberFormat="1" applyFont="1" applyFill="1" applyBorder="1" applyAlignment="1">
      <alignment vertical="center" wrapText="1"/>
    </xf>
    <xf numFmtId="0" fontId="38" fillId="0" borderId="45" xfId="37" applyFont="1" applyBorder="1" applyAlignment="1">
      <alignment horizontal="center" vertical="center"/>
    </xf>
    <xf numFmtId="3" fontId="62" fillId="47" borderId="45" xfId="3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42" xfId="37" applyFont="1" applyBorder="1" applyAlignment="1">
      <alignment horizontal="center" vertical="center"/>
    </xf>
    <xf numFmtId="166" fontId="62" fillId="0" borderId="42" xfId="37" applyNumberFormat="1" applyFont="1" applyFill="1" applyBorder="1" applyAlignment="1">
      <alignment horizontal="center" vertical="center"/>
    </xf>
    <xf numFmtId="3" fontId="62" fillId="45" borderId="42" xfId="37" applyNumberFormat="1" applyFont="1" applyFill="1" applyBorder="1" applyAlignment="1">
      <alignment horizontal="center" vertical="center"/>
    </xf>
    <xf numFmtId="3" fontId="62" fillId="47" borderId="42" xfId="37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43" fontId="38" fillId="0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38" fillId="47" borderId="0" xfId="0" applyFont="1" applyFill="1" applyAlignment="1">
      <alignment vertical="center"/>
    </xf>
    <xf numFmtId="0" fontId="79" fillId="0" borderId="0" xfId="0" applyFont="1" applyAlignment="1">
      <alignment vertical="center" wrapText="1"/>
    </xf>
    <xf numFmtId="0" fontId="63" fillId="0" borderId="0" xfId="0" applyFont="1" applyFill="1" applyAlignment="1">
      <alignment vertical="center"/>
    </xf>
    <xf numFmtId="43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57" xfId="37" applyFont="1" applyBorder="1" applyAlignment="1">
      <alignment vertical="center" wrapText="1"/>
    </xf>
    <xf numFmtId="0" fontId="38" fillId="0" borderId="48" xfId="37" applyFont="1" applyBorder="1" applyAlignment="1">
      <alignment vertical="center" wrapText="1"/>
    </xf>
    <xf numFmtId="0" fontId="40" fillId="50" borderId="5" xfId="0" applyFont="1" applyFill="1" applyBorder="1" applyAlignment="1">
      <alignment horizontal="center" vertical="center" wrapText="1"/>
    </xf>
    <xf numFmtId="0" fontId="40" fillId="50" borderId="11" xfId="0" applyFont="1" applyFill="1" applyBorder="1" applyAlignment="1">
      <alignment horizontal="center" vertical="center"/>
    </xf>
    <xf numFmtId="0" fontId="40" fillId="50" borderId="11" xfId="37" applyFont="1" applyFill="1" applyBorder="1" applyAlignment="1">
      <alignment horizontal="center" vertical="center" wrapText="1"/>
    </xf>
    <xf numFmtId="3" fontId="40" fillId="50" borderId="12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0" xfId="37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/>
    </xf>
    <xf numFmtId="0" fontId="42" fillId="37" borderId="24" xfId="0" applyFont="1" applyFill="1" applyBorder="1" applyAlignment="1">
      <alignment horizontal="center" vertical="center"/>
    </xf>
    <xf numFmtId="0" fontId="42" fillId="37" borderId="25" xfId="0" applyFont="1" applyFill="1" applyBorder="1" applyAlignment="1">
      <alignment vertical="center"/>
    </xf>
    <xf numFmtId="0" fontId="42" fillId="37" borderId="23" xfId="0" applyFont="1" applyFill="1" applyBorder="1" applyAlignment="1">
      <alignment vertical="center"/>
    </xf>
    <xf numFmtId="0" fontId="38" fillId="0" borderId="55" xfId="37" applyFont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0" fillId="0" borderId="46" xfId="37" applyFont="1" applyFill="1" applyBorder="1" applyAlignment="1">
      <alignment horizontal="left" vertical="center" wrapText="1"/>
    </xf>
    <xf numFmtId="0" fontId="42" fillId="0" borderId="0" xfId="37" applyFont="1" applyFill="1" applyBorder="1" applyAlignment="1">
      <alignment horizontal="center" vertical="center" wrapText="1"/>
    </xf>
    <xf numFmtId="3" fontId="42" fillId="0" borderId="0" xfId="37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0" fontId="38" fillId="0" borderId="2" xfId="37" applyFont="1" applyFill="1" applyBorder="1" applyAlignment="1">
      <alignment horizontal="left" vertical="center" wrapText="1"/>
    </xf>
    <xf numFmtId="165" fontId="38" fillId="0" borderId="2" xfId="37" applyNumberFormat="1" applyFont="1" applyFill="1" applyBorder="1" applyAlignment="1">
      <alignment horizontal="center" vertical="center" wrapText="1"/>
    </xf>
    <xf numFmtId="0" fontId="38" fillId="0" borderId="2" xfId="37" applyFont="1" applyFill="1" applyBorder="1" applyAlignment="1">
      <alignment horizontal="center" vertical="center" wrapText="1"/>
    </xf>
    <xf numFmtId="165" fontId="38" fillId="43" borderId="2" xfId="0" applyNumberFormat="1" applyFont="1" applyFill="1" applyBorder="1" applyAlignment="1">
      <alignment horizontal="center" vertical="center"/>
    </xf>
    <xf numFmtId="0" fontId="38" fillId="0" borderId="2" xfId="37" applyFont="1" applyFill="1" applyBorder="1" applyAlignment="1">
      <alignment vertical="center" wrapText="1"/>
    </xf>
    <xf numFmtId="0" fontId="38" fillId="47" borderId="0" xfId="0" applyFont="1" applyFill="1" applyAlignment="1">
      <alignment vertical="center" wrapText="1"/>
    </xf>
    <xf numFmtId="3" fontId="40" fillId="0" borderId="7" xfId="0" applyNumberFormat="1" applyFont="1" applyFill="1" applyBorder="1" applyAlignment="1">
      <alignment horizontal="center" vertical="center"/>
    </xf>
    <xf numFmtId="0" fontId="42" fillId="37" borderId="25" xfId="0" applyFont="1" applyFill="1" applyBorder="1" applyAlignment="1">
      <alignment horizontal="center" vertical="center"/>
    </xf>
    <xf numFmtId="0" fontId="42" fillId="37" borderId="23" xfId="0" applyFont="1" applyFill="1" applyBorder="1" applyAlignment="1">
      <alignment horizontal="center" vertical="center"/>
    </xf>
    <xf numFmtId="43" fontId="38" fillId="0" borderId="2" xfId="0" applyNumberFormat="1" applyFont="1" applyFill="1" applyBorder="1" applyAlignment="1">
      <alignment horizontal="center" vertical="center"/>
    </xf>
    <xf numFmtId="2" fontId="38" fillId="0" borderId="2" xfId="0" applyNumberFormat="1" applyFont="1" applyFill="1" applyBorder="1" applyAlignment="1">
      <alignment horizontal="center" vertical="center"/>
    </xf>
    <xf numFmtId="168" fontId="38" fillId="0" borderId="2" xfId="0" applyNumberFormat="1" applyFont="1" applyFill="1" applyBorder="1" applyAlignment="1">
      <alignment horizontal="center" vertical="center"/>
    </xf>
    <xf numFmtId="41" fontId="38" fillId="0" borderId="2" xfId="0" applyNumberFormat="1" applyFont="1" applyFill="1" applyBorder="1" applyAlignment="1">
      <alignment horizontal="center" vertical="center"/>
    </xf>
    <xf numFmtId="0" fontId="38" fillId="0" borderId="2" xfId="37" applyFont="1" applyFill="1" applyBorder="1" applyAlignment="1">
      <alignment horizontal="center" vertical="center"/>
    </xf>
    <xf numFmtId="3" fontId="38" fillId="0" borderId="2" xfId="37" applyNumberFormat="1" applyFont="1" applyFill="1" applyBorder="1" applyAlignment="1">
      <alignment horizontal="center" vertical="center"/>
    </xf>
    <xf numFmtId="2" fontId="38" fillId="0" borderId="2" xfId="37" applyNumberFormat="1" applyFont="1" applyFill="1" applyBorder="1" applyAlignment="1">
      <alignment horizontal="center" vertical="center"/>
    </xf>
    <xf numFmtId="43" fontId="38" fillId="0" borderId="2" xfId="37" applyNumberFormat="1" applyFont="1" applyFill="1" applyBorder="1" applyAlignment="1">
      <alignment horizontal="center" vertical="center" wrapText="1"/>
    </xf>
    <xf numFmtId="0" fontId="38" fillId="43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center" vertical="center"/>
    </xf>
    <xf numFmtId="3" fontId="40" fillId="0" borderId="35" xfId="0" applyNumberFormat="1" applyFont="1" applyFill="1" applyBorder="1" applyAlignment="1">
      <alignment horizontal="center" vertical="center"/>
    </xf>
    <xf numFmtId="3" fontId="38" fillId="0" borderId="2" xfId="37" applyNumberFormat="1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vertical="center" wrapText="1"/>
    </xf>
    <xf numFmtId="0" fontId="38" fillId="0" borderId="37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3" fontId="42" fillId="37" borderId="23" xfId="0" applyNumberFormat="1" applyFont="1" applyFill="1" applyBorder="1" applyAlignment="1">
      <alignment vertical="center"/>
    </xf>
    <xf numFmtId="0" fontId="38" fillId="51" borderId="0" xfId="0" applyFont="1" applyFill="1" applyAlignment="1">
      <alignment vertical="center"/>
    </xf>
    <xf numFmtId="0" fontId="63" fillId="51" borderId="0" xfId="0" applyFont="1" applyFill="1" applyAlignment="1">
      <alignment vertical="center"/>
    </xf>
    <xf numFmtId="3" fontId="38" fillId="43" borderId="2" xfId="0" applyNumberFormat="1" applyFont="1" applyFill="1" applyBorder="1" applyAlignment="1">
      <alignment horizontal="center" vertical="center"/>
    </xf>
    <xf numFmtId="3" fontId="38" fillId="43" borderId="2" xfId="37" applyNumberFormat="1" applyFont="1" applyFill="1" applyBorder="1" applyAlignment="1">
      <alignment horizontal="center" vertical="center" wrapText="1"/>
    </xf>
    <xf numFmtId="0" fontId="38" fillId="43" borderId="2" xfId="37" applyFont="1" applyFill="1" applyBorder="1" applyAlignment="1">
      <alignment horizontal="center" vertical="center" wrapText="1"/>
    </xf>
    <xf numFmtId="41" fontId="38" fillId="43" borderId="2" xfId="0" applyNumberFormat="1" applyFont="1" applyFill="1" applyBorder="1" applyAlignment="1">
      <alignment horizontal="center" vertical="center"/>
    </xf>
    <xf numFmtId="0" fontId="63" fillId="47" borderId="0" xfId="0" applyFont="1" applyFill="1" applyAlignment="1">
      <alignment vertical="center"/>
    </xf>
    <xf numFmtId="4" fontId="38" fillId="43" borderId="2" xfId="37" applyNumberFormat="1" applyFont="1" applyFill="1" applyBorder="1" applyAlignment="1">
      <alignment horizontal="center" vertical="center" wrapText="1"/>
    </xf>
    <xf numFmtId="2" fontId="38" fillId="43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/>
    <xf numFmtId="0" fontId="38" fillId="0" borderId="2" xfId="0" applyFont="1" applyFill="1" applyBorder="1" applyAlignment="1">
      <alignment horizontal="center"/>
    </xf>
    <xf numFmtId="43" fontId="38" fillId="43" borderId="2" xfId="0" applyNumberFormat="1" applyFont="1" applyFill="1" applyBorder="1" applyAlignment="1">
      <alignment horizontal="center"/>
    </xf>
    <xf numFmtId="4" fontId="38" fillId="0" borderId="2" xfId="37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3" fontId="38" fillId="0" borderId="2" xfId="0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/>
    <xf numFmtId="0" fontId="34" fillId="0" borderId="2" xfId="0" applyNumberFormat="1" applyFont="1" applyFill="1" applyBorder="1" applyAlignment="1">
      <alignment horizontal="left" vertical="center"/>
    </xf>
    <xf numFmtId="49" fontId="34" fillId="0" borderId="2" xfId="0" applyNumberFormat="1" applyFont="1" applyFill="1" applyBorder="1" applyAlignment="1">
      <alignment horizontal="left" vertical="center"/>
    </xf>
    <xf numFmtId="3" fontId="83" fillId="55" borderId="2" xfId="0" applyNumberFormat="1" applyFont="1" applyFill="1" applyBorder="1" applyAlignment="1">
      <alignment horizontal="center" vertical="center"/>
    </xf>
    <xf numFmtId="0" fontId="34" fillId="52" borderId="2" xfId="0" applyFont="1" applyFill="1" applyBorder="1" applyAlignment="1">
      <alignment vertical="center"/>
    </xf>
    <xf numFmtId="0" fontId="34" fillId="0" borderId="2" xfId="0" applyNumberFormat="1" applyFont="1" applyFill="1" applyBorder="1" applyAlignment="1">
      <alignment horizontal="center" vertical="center"/>
    </xf>
    <xf numFmtId="0" fontId="85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82" fillId="0" borderId="2" xfId="37" applyFont="1" applyFill="1" applyBorder="1" applyAlignment="1">
      <alignment vertical="center" wrapText="1"/>
    </xf>
    <xf numFmtId="0" fontId="34" fillId="0" borderId="2" xfId="37" applyFont="1" applyFill="1" applyBorder="1" applyAlignment="1">
      <alignment horizontal="center" vertical="center"/>
    </xf>
    <xf numFmtId="3" fontId="34" fillId="0" borderId="2" xfId="37" applyNumberFormat="1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vertical="center" wrapText="1"/>
    </xf>
    <xf numFmtId="0" fontId="86" fillId="0" borderId="2" xfId="0" applyFont="1" applyFill="1" applyBorder="1" applyAlignment="1">
      <alignment vertical="center" wrapText="1"/>
    </xf>
    <xf numFmtId="0" fontId="34" fillId="0" borderId="2" xfId="37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/>
    </xf>
    <xf numFmtId="165" fontId="34" fillId="0" borderId="2" xfId="0" applyNumberFormat="1" applyFont="1" applyFill="1" applyBorder="1" applyAlignment="1">
      <alignment horizontal="center" vertical="center"/>
    </xf>
    <xf numFmtId="43" fontId="34" fillId="0" borderId="2" xfId="0" applyNumberFormat="1" applyFont="1" applyFill="1" applyBorder="1" applyAlignment="1">
      <alignment horizontal="center" vertical="center"/>
    </xf>
    <xf numFmtId="169" fontId="34" fillId="0" borderId="2" xfId="0" applyNumberFormat="1" applyFont="1" applyFill="1" applyBorder="1" applyAlignment="1">
      <alignment vertical="center"/>
    </xf>
    <xf numFmtId="164" fontId="34" fillId="0" borderId="0" xfId="0" applyNumberFormat="1" applyFont="1" applyFill="1" applyAlignment="1">
      <alignment vertical="center"/>
    </xf>
    <xf numFmtId="169" fontId="34" fillId="0" borderId="2" xfId="0" applyNumberFormat="1" applyFont="1" applyFill="1" applyBorder="1" applyAlignment="1">
      <alignment horizontal="center" vertical="center"/>
    </xf>
    <xf numFmtId="169" fontId="34" fillId="0" borderId="0" xfId="0" applyNumberFormat="1" applyFont="1" applyFill="1" applyAlignment="1">
      <alignment vertical="center"/>
    </xf>
    <xf numFmtId="0" fontId="34" fillId="0" borderId="2" xfId="0" applyFont="1" applyBorder="1" applyAlignment="1">
      <alignment horizontal="center"/>
    </xf>
    <xf numFmtId="0" fontId="85" fillId="0" borderId="2" xfId="37" applyFont="1" applyFill="1" applyBorder="1" applyAlignment="1">
      <alignment horizontal="center" vertical="center" wrapText="1"/>
    </xf>
    <xf numFmtId="9" fontId="34" fillId="0" borderId="2" xfId="0" applyNumberFormat="1" applyFont="1" applyFill="1" applyBorder="1" applyAlignment="1">
      <alignment horizontal="center" vertical="center"/>
    </xf>
    <xf numFmtId="3" fontId="82" fillId="0" borderId="2" xfId="0" applyNumberFormat="1" applyFont="1" applyFill="1" applyBorder="1" applyAlignment="1">
      <alignment horizontal="center" vertical="center"/>
    </xf>
    <xf numFmtId="0" fontId="86" fillId="0" borderId="2" xfId="37" applyFont="1" applyFill="1" applyBorder="1" applyAlignment="1">
      <alignment vertical="center" wrapText="1"/>
    </xf>
    <xf numFmtId="43" fontId="34" fillId="0" borderId="2" xfId="37" applyNumberFormat="1" applyFont="1" applyFill="1" applyBorder="1" applyAlignment="1">
      <alignment horizontal="center" vertical="center" wrapText="1"/>
    </xf>
    <xf numFmtId="3" fontId="34" fillId="0" borderId="2" xfId="37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87" fillId="0" borderId="2" xfId="0" applyFont="1" applyFill="1" applyBorder="1" applyAlignment="1">
      <alignment vertical="center"/>
    </xf>
    <xf numFmtId="1" fontId="88" fillId="0" borderId="2" xfId="19" applyNumberFormat="1" applyFont="1" applyFill="1" applyBorder="1" applyAlignment="1">
      <alignment horizontal="center" vertical="center" wrapText="1"/>
    </xf>
    <xf numFmtId="0" fontId="89" fillId="0" borderId="2" xfId="0" applyFont="1" applyBorder="1"/>
    <xf numFmtId="0" fontId="89" fillId="0" borderId="0" xfId="0" applyFont="1"/>
    <xf numFmtId="168" fontId="34" fillId="0" borderId="2" xfId="0" applyNumberFormat="1" applyFont="1" applyFill="1" applyBorder="1" applyAlignment="1">
      <alignment horizontal="center" vertical="center"/>
    </xf>
    <xf numFmtId="170" fontId="34" fillId="0" borderId="2" xfId="0" applyNumberFormat="1" applyFont="1" applyFill="1" applyBorder="1" applyAlignment="1">
      <alignment horizontal="center" vertical="center"/>
    </xf>
    <xf numFmtId="43" fontId="34" fillId="0" borderId="0" xfId="0" applyNumberFormat="1" applyFont="1" applyFill="1" applyAlignment="1">
      <alignment vertical="center"/>
    </xf>
    <xf numFmtId="0" fontId="82" fillId="0" borderId="2" xfId="0" applyFont="1" applyFill="1" applyBorder="1" applyAlignment="1">
      <alignment horizontal="left" vertical="center" wrapText="1"/>
    </xf>
    <xf numFmtId="0" fontId="86" fillId="0" borderId="2" xfId="0" applyFont="1" applyFill="1" applyBorder="1" applyAlignment="1">
      <alignment horizontal="left" vertical="center" wrapText="1"/>
    </xf>
    <xf numFmtId="43" fontId="34" fillId="0" borderId="2" xfId="37" applyNumberFormat="1" applyFont="1" applyFill="1" applyBorder="1" applyAlignment="1">
      <alignment vertical="center" wrapText="1"/>
    </xf>
    <xf numFmtId="166" fontId="34" fillId="0" borderId="2" xfId="0" applyNumberFormat="1" applyFont="1" applyFill="1" applyBorder="1" applyAlignment="1">
      <alignment horizontal="center" vertical="center"/>
    </xf>
    <xf numFmtId="0" fontId="34" fillId="0" borderId="2" xfId="37" applyFont="1" applyFill="1" applyBorder="1" applyAlignment="1">
      <alignment vertical="center" wrapText="1"/>
    </xf>
    <xf numFmtId="0" fontId="89" fillId="0" borderId="2" xfId="0" applyFont="1" applyFill="1" applyBorder="1"/>
    <xf numFmtId="0" fontId="89" fillId="0" borderId="0" xfId="0" applyFont="1" applyFill="1"/>
    <xf numFmtId="4" fontId="34" fillId="0" borderId="2" xfId="37" applyNumberFormat="1" applyFont="1" applyFill="1" applyBorder="1" applyAlignment="1">
      <alignment horizontal="center" vertical="center" wrapText="1"/>
    </xf>
    <xf numFmtId="0" fontId="82" fillId="0" borderId="2" xfId="0" applyFont="1" applyFill="1" applyBorder="1"/>
    <xf numFmtId="0" fontId="34" fillId="0" borderId="2" xfId="0" applyFont="1" applyFill="1" applyBorder="1" applyAlignment="1">
      <alignment horizontal="center"/>
    </xf>
    <xf numFmtId="43" fontId="34" fillId="0" borderId="2" xfId="0" applyNumberFormat="1" applyFont="1" applyFill="1" applyBorder="1" applyAlignment="1">
      <alignment horizontal="center"/>
    </xf>
    <xf numFmtId="3" fontId="34" fillId="0" borderId="2" xfId="0" applyNumberFormat="1" applyFont="1" applyFill="1" applyBorder="1" applyAlignment="1">
      <alignment horizontal="center"/>
    </xf>
    <xf numFmtId="0" fontId="90" fillId="0" borderId="0" xfId="46" applyFont="1" applyFill="1" applyAlignment="1">
      <alignment vertical="center"/>
    </xf>
    <xf numFmtId="41" fontId="34" fillId="0" borderId="2" xfId="0" applyNumberFormat="1" applyFont="1" applyFill="1" applyBorder="1" applyAlignment="1">
      <alignment horizontal="center" vertical="center"/>
    </xf>
    <xf numFmtId="0" fontId="84" fillId="0" borderId="2" xfId="37" applyFont="1" applyFill="1" applyBorder="1" applyAlignment="1">
      <alignment vertical="center" wrapText="1"/>
    </xf>
    <xf numFmtId="0" fontId="34" fillId="0" borderId="2" xfId="0" applyFont="1" applyFill="1" applyBorder="1"/>
    <xf numFmtId="0" fontId="34" fillId="0" borderId="2" xfId="0" applyFont="1" applyFill="1" applyBorder="1" applyAlignment="1">
      <alignment wrapText="1"/>
    </xf>
    <xf numFmtId="0" fontId="34" fillId="0" borderId="2" xfId="0" applyFont="1" applyFill="1" applyBorder="1" applyAlignment="1">
      <alignment vertical="top" wrapText="1"/>
    </xf>
    <xf numFmtId="0" fontId="91" fillId="0" borderId="0" xfId="0" applyFont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47" applyFont="1" applyFill="1" applyBorder="1" applyAlignment="1">
      <alignment vertical="center"/>
    </xf>
    <xf numFmtId="0" fontId="34" fillId="0" borderId="0" xfId="47" applyFont="1" applyFill="1" applyBorder="1" applyAlignment="1">
      <alignment vertical="center" wrapText="1"/>
    </xf>
    <xf numFmtId="0" fontId="92" fillId="0" borderId="0" xfId="47" applyFont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34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55" fillId="0" borderId="41" xfId="37" applyFont="1" applyBorder="1" applyAlignment="1">
      <alignment horizontal="left" vertical="center" wrapText="1"/>
    </xf>
    <xf numFmtId="0" fontId="55" fillId="0" borderId="31" xfId="37" applyFont="1" applyBorder="1" applyAlignment="1">
      <alignment horizontal="left" vertical="center" wrapText="1"/>
    </xf>
    <xf numFmtId="0" fontId="55" fillId="0" borderId="55" xfId="37" applyFont="1" applyBorder="1" applyAlignment="1">
      <alignment horizontal="left" vertical="center" wrapText="1"/>
    </xf>
    <xf numFmtId="0" fontId="55" fillId="0" borderId="54" xfId="37" applyFont="1" applyBorder="1" applyAlignment="1">
      <alignment horizontal="left" vertical="center" wrapText="1"/>
    </xf>
    <xf numFmtId="0" fontId="55" fillId="0" borderId="57" xfId="37" applyFont="1" applyBorder="1" applyAlignment="1">
      <alignment horizontal="left" vertical="center" wrapText="1"/>
    </xf>
    <xf numFmtId="0" fontId="55" fillId="0" borderId="68" xfId="37" applyFont="1" applyBorder="1" applyAlignment="1">
      <alignment horizontal="left" vertical="center" wrapText="1"/>
    </xf>
    <xf numFmtId="0" fontId="55" fillId="0" borderId="65" xfId="37" applyFont="1" applyBorder="1" applyAlignment="1">
      <alignment horizontal="center" vertical="center" wrapText="1"/>
    </xf>
    <xf numFmtId="0" fontId="55" fillId="0" borderId="66" xfId="37" applyFont="1" applyBorder="1" applyAlignment="1">
      <alignment horizontal="center" vertical="center" wrapText="1"/>
    </xf>
    <xf numFmtId="0" fontId="55" fillId="0" borderId="55" xfId="37" applyFont="1" applyBorder="1" applyAlignment="1">
      <alignment horizontal="center" vertical="center" wrapText="1"/>
    </xf>
    <xf numFmtId="0" fontId="55" fillId="0" borderId="54" xfId="37" applyFont="1" applyBorder="1" applyAlignment="1">
      <alignment horizontal="center" vertical="center" wrapText="1"/>
    </xf>
    <xf numFmtId="0" fontId="55" fillId="46" borderId="55" xfId="37" applyFont="1" applyFill="1" applyBorder="1" applyAlignment="1">
      <alignment horizontal="left" vertical="center" wrapText="1"/>
    </xf>
    <xf numFmtId="0" fontId="55" fillId="46" borderId="54" xfId="37" applyFont="1" applyFill="1" applyBorder="1" applyAlignment="1">
      <alignment horizontal="left" vertical="center" wrapText="1"/>
    </xf>
    <xf numFmtId="0" fontId="55" fillId="0" borderId="48" xfId="37" applyFont="1" applyBorder="1" applyAlignment="1">
      <alignment vertical="center" wrapText="1"/>
    </xf>
    <xf numFmtId="0" fontId="55" fillId="0" borderId="54" xfId="37" applyFont="1" applyBorder="1" applyAlignment="1">
      <alignment vertical="center" wrapText="1"/>
    </xf>
    <xf numFmtId="0" fontId="57" fillId="0" borderId="55" xfId="37" applyFont="1" applyBorder="1" applyAlignment="1">
      <alignment horizontal="center" vertical="center" wrapText="1"/>
    </xf>
    <xf numFmtId="0" fontId="57" fillId="0" borderId="54" xfId="37" applyFont="1" applyBorder="1" applyAlignment="1">
      <alignment horizontal="center" vertical="center" wrapText="1"/>
    </xf>
    <xf numFmtId="0" fontId="55" fillId="0" borderId="48" xfId="37" applyFont="1" applyBorder="1" applyAlignment="1">
      <alignment horizontal="left" vertical="center" wrapText="1"/>
    </xf>
    <xf numFmtId="0" fontId="55" fillId="0" borderId="58" xfId="37" applyFont="1" applyBorder="1" applyAlignment="1">
      <alignment horizontal="left" vertical="center" wrapText="1"/>
    </xf>
    <xf numFmtId="0" fontId="55" fillId="0" borderId="60" xfId="37" applyFont="1" applyBorder="1" applyAlignment="1">
      <alignment horizontal="center" vertical="center" wrapText="1"/>
    </xf>
    <xf numFmtId="0" fontId="55" fillId="0" borderId="37" xfId="37" applyFont="1" applyBorder="1" applyAlignment="1">
      <alignment horizontal="center" vertical="center" wrapText="1"/>
    </xf>
    <xf numFmtId="0" fontId="55" fillId="0" borderId="38" xfId="37" applyFont="1" applyBorder="1" applyAlignment="1">
      <alignment horizontal="center" vertical="center" wrapText="1"/>
    </xf>
    <xf numFmtId="0" fontId="55" fillId="0" borderId="67" xfId="37" applyFont="1" applyBorder="1" applyAlignment="1">
      <alignment horizontal="left" vertical="center" wrapText="1"/>
    </xf>
    <xf numFmtId="0" fontId="55" fillId="0" borderId="63" xfId="37" applyFont="1" applyBorder="1" applyAlignment="1">
      <alignment horizontal="left" vertical="center" wrapText="1"/>
    </xf>
    <xf numFmtId="0" fontId="55" fillId="0" borderId="64" xfId="37" applyFont="1" applyBorder="1" applyAlignment="1">
      <alignment horizontal="left" vertical="center" wrapText="1"/>
    </xf>
    <xf numFmtId="0" fontId="55" fillId="0" borderId="2" xfId="37" applyFont="1" applyBorder="1" applyAlignment="1">
      <alignment horizontal="center" vertical="center" wrapText="1"/>
    </xf>
    <xf numFmtId="0" fontId="57" fillId="0" borderId="67" xfId="37" applyFont="1" applyBorder="1" applyAlignment="1">
      <alignment horizontal="center" vertical="center" wrapText="1"/>
    </xf>
    <xf numFmtId="0" fontId="57" fillId="0" borderId="68" xfId="37" applyFont="1" applyBorder="1" applyAlignment="1">
      <alignment horizontal="center" vertical="center" wrapText="1"/>
    </xf>
    <xf numFmtId="0" fontId="55" fillId="0" borderId="48" xfId="37" applyFont="1" applyFill="1" applyBorder="1" applyAlignment="1">
      <alignment horizontal="left" vertical="center" wrapText="1"/>
    </xf>
    <xf numFmtId="0" fontId="55" fillId="0" borderId="54" xfId="37" applyFont="1" applyFill="1" applyBorder="1" applyAlignment="1">
      <alignment horizontal="left" vertical="center" wrapText="1"/>
    </xf>
    <xf numFmtId="0" fontId="57" fillId="0" borderId="48" xfId="37" applyFont="1" applyBorder="1" applyAlignment="1">
      <alignment horizontal="center" vertical="center" wrapText="1"/>
    </xf>
    <xf numFmtId="0" fontId="57" fillId="0" borderId="48" xfId="37" applyFont="1" applyBorder="1" applyAlignment="1">
      <alignment horizontal="right" vertical="center" wrapText="1"/>
    </xf>
    <xf numFmtId="0" fontId="57" fillId="0" borderId="54" xfId="37" applyFont="1" applyBorder="1" applyAlignment="1">
      <alignment horizontal="right" vertical="center" wrapText="1"/>
    </xf>
    <xf numFmtId="0" fontId="55" fillId="0" borderId="48" xfId="37" applyFont="1" applyFill="1" applyBorder="1" applyAlignment="1">
      <alignment vertical="center" wrapText="1"/>
    </xf>
    <xf numFmtId="0" fontId="55" fillId="0" borderId="54" xfId="37" applyFont="1" applyFill="1" applyBorder="1" applyAlignment="1">
      <alignment vertical="center" wrapText="1"/>
    </xf>
    <xf numFmtId="0" fontId="55" fillId="0" borderId="55" xfId="37" applyFont="1" applyFill="1" applyBorder="1" applyAlignment="1">
      <alignment horizontal="left" vertical="center" wrapText="1"/>
    </xf>
    <xf numFmtId="0" fontId="58" fillId="0" borderId="48" xfId="37" applyFont="1" applyBorder="1" applyAlignment="1">
      <alignment horizontal="left" vertical="center" wrapText="1"/>
    </xf>
    <xf numFmtId="0" fontId="58" fillId="0" borderId="54" xfId="37" applyFont="1" applyBorder="1" applyAlignment="1">
      <alignment horizontal="left" vertical="center" wrapText="1"/>
    </xf>
    <xf numFmtId="0" fontId="55" fillId="0" borderId="0" xfId="37" applyFont="1" applyBorder="1" applyAlignment="1">
      <alignment horizontal="left" vertical="center" wrapText="1"/>
    </xf>
    <xf numFmtId="0" fontId="55" fillId="0" borderId="61" xfId="37" applyFont="1" applyBorder="1" applyAlignment="1">
      <alignment horizontal="left" vertical="center" wrapText="1"/>
    </xf>
    <xf numFmtId="0" fontId="55" fillId="0" borderId="59" xfId="37" applyFont="1" applyBorder="1" applyAlignment="1">
      <alignment horizontal="left" vertical="center" wrapText="1"/>
    </xf>
    <xf numFmtId="0" fontId="55" fillId="0" borderId="63" xfId="37" applyFont="1" applyBorder="1" applyAlignment="1">
      <alignment horizontal="center" vertical="center" wrapText="1"/>
    </xf>
    <xf numFmtId="0" fontId="55" fillId="0" borderId="64" xfId="37" applyFont="1" applyBorder="1" applyAlignment="1">
      <alignment horizontal="center" vertical="center" wrapText="1"/>
    </xf>
    <xf numFmtId="0" fontId="55" fillId="0" borderId="47" xfId="37" applyFont="1" applyBorder="1" applyAlignment="1">
      <alignment horizontal="center" vertical="center" wrapText="1"/>
    </xf>
    <xf numFmtId="0" fontId="55" fillId="0" borderId="20" xfId="37" applyFont="1" applyBorder="1" applyAlignment="1">
      <alignment horizontal="center" vertical="center" wrapText="1"/>
    </xf>
    <xf numFmtId="0" fontId="55" fillId="0" borderId="45" xfId="37" applyFont="1" applyBorder="1" applyAlignment="1">
      <alignment horizontal="center" vertical="center" wrapText="1"/>
    </xf>
    <xf numFmtId="0" fontId="57" fillId="0" borderId="69" xfId="37" applyFont="1" applyBorder="1" applyAlignment="1">
      <alignment horizontal="right" vertical="center" wrapText="1"/>
    </xf>
    <xf numFmtId="0" fontId="57" fillId="0" borderId="66" xfId="37" applyFont="1" applyBorder="1" applyAlignment="1">
      <alignment horizontal="right" vertical="center" wrapText="1"/>
    </xf>
    <xf numFmtId="0" fontId="55" fillId="0" borderId="16" xfId="37" applyFont="1" applyBorder="1" applyAlignment="1">
      <alignment horizontal="center" vertical="center" wrapText="1"/>
    </xf>
    <xf numFmtId="0" fontId="55" fillId="0" borderId="4" xfId="37" applyFont="1" applyBorder="1" applyAlignment="1">
      <alignment horizontal="center" vertical="center" wrapText="1"/>
    </xf>
    <xf numFmtId="0" fontId="55" fillId="0" borderId="24" xfId="37" applyFont="1" applyBorder="1" applyAlignment="1">
      <alignment horizontal="center" vertical="center" wrapText="1"/>
    </xf>
    <xf numFmtId="0" fontId="55" fillId="0" borderId="23" xfId="37" applyFont="1" applyBorder="1" applyAlignment="1">
      <alignment horizontal="center" vertical="center" wrapText="1"/>
    </xf>
    <xf numFmtId="0" fontId="57" fillId="52" borderId="2" xfId="37" applyFont="1" applyFill="1" applyBorder="1" applyAlignment="1">
      <alignment horizontal="center" vertical="center" wrapText="1"/>
    </xf>
    <xf numFmtId="0" fontId="55" fillId="46" borderId="48" xfId="37" applyFont="1" applyFill="1" applyBorder="1" applyAlignment="1">
      <alignment horizontal="left" vertical="center" wrapText="1"/>
    </xf>
    <xf numFmtId="0" fontId="57" fillId="52" borderId="38" xfId="37" applyFont="1" applyFill="1" applyBorder="1" applyAlignment="1">
      <alignment horizontal="center" vertical="center" wrapText="1"/>
    </xf>
    <xf numFmtId="0" fontId="55" fillId="0" borderId="48" xfId="37" applyFont="1" applyBorder="1" applyAlignment="1">
      <alignment horizontal="center" vertical="center"/>
    </xf>
    <xf numFmtId="0" fontId="55" fillId="0" borderId="55" xfId="37" applyFont="1" applyBorder="1" applyAlignment="1">
      <alignment horizontal="center" vertical="center"/>
    </xf>
    <xf numFmtId="0" fontId="55" fillId="0" borderId="54" xfId="37" applyFont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 wrapText="1"/>
    </xf>
    <xf numFmtId="0" fontId="37" fillId="54" borderId="7" xfId="0" applyFont="1" applyFill="1" applyBorder="1" applyAlignment="1">
      <alignment horizontal="center" vertical="center" textRotation="90" wrapText="1"/>
    </xf>
    <xf numFmtId="0" fontId="37" fillId="54" borderId="20" xfId="0" applyFont="1" applyFill="1" applyBorder="1" applyAlignment="1">
      <alignment horizontal="center" vertical="center" textRotation="90" wrapText="1"/>
    </xf>
    <xf numFmtId="0" fontId="57" fillId="0" borderId="57" xfId="37" applyFont="1" applyBorder="1" applyAlignment="1">
      <alignment horizontal="center" vertical="center" wrapText="1"/>
    </xf>
    <xf numFmtId="0" fontId="36" fillId="53" borderId="7" xfId="0" applyFont="1" applyFill="1" applyBorder="1" applyAlignment="1">
      <alignment horizontal="center" vertical="center" textRotation="90"/>
    </xf>
    <xf numFmtId="0" fontId="36" fillId="53" borderId="20" xfId="0" applyFont="1" applyFill="1" applyBorder="1" applyAlignment="1">
      <alignment horizontal="center" vertical="center" textRotation="90"/>
    </xf>
    <xf numFmtId="0" fontId="36" fillId="52" borderId="7" xfId="0" applyFont="1" applyFill="1" applyBorder="1" applyAlignment="1">
      <alignment horizontal="center" vertical="center" textRotation="90"/>
    </xf>
    <xf numFmtId="0" fontId="36" fillId="52" borderId="20" xfId="0" applyFont="1" applyFill="1" applyBorder="1" applyAlignment="1">
      <alignment horizontal="center" vertical="center" textRotation="90"/>
    </xf>
    <xf numFmtId="0" fontId="60" fillId="0" borderId="24" xfId="37" applyFont="1" applyBorder="1" applyAlignment="1">
      <alignment horizontal="center" vertical="center" wrapText="1"/>
    </xf>
    <xf numFmtId="0" fontId="60" fillId="0" borderId="25" xfId="37" applyFont="1" applyBorder="1" applyAlignment="1">
      <alignment horizontal="center" vertical="center" wrapText="1"/>
    </xf>
    <xf numFmtId="0" fontId="60" fillId="0" borderId="23" xfId="37" applyFont="1" applyBorder="1" applyAlignment="1">
      <alignment horizontal="center" vertical="center" wrapText="1"/>
    </xf>
    <xf numFmtId="0" fontId="55" fillId="0" borderId="63" xfId="37" applyFont="1" applyFill="1" applyBorder="1" applyAlignment="1">
      <alignment horizontal="left" vertical="center" wrapText="1"/>
    </xf>
    <xf numFmtId="0" fontId="55" fillId="0" borderId="64" xfId="37" applyFont="1" applyFill="1" applyBorder="1" applyAlignment="1">
      <alignment horizontal="left" vertical="center" wrapText="1"/>
    </xf>
    <xf numFmtId="0" fontId="55" fillId="47" borderId="48" xfId="37" applyFont="1" applyFill="1" applyBorder="1" applyAlignment="1">
      <alignment horizontal="left" vertical="center" wrapText="1"/>
    </xf>
    <xf numFmtId="0" fontId="55" fillId="47" borderId="54" xfId="37" applyFont="1" applyFill="1" applyBorder="1" applyAlignment="1">
      <alignment horizontal="left" vertical="center" wrapText="1"/>
    </xf>
    <xf numFmtId="0" fontId="55" fillId="0" borderId="5" xfId="37" applyFont="1" applyBorder="1" applyAlignment="1">
      <alignment horizontal="center" vertical="center" wrapText="1"/>
    </xf>
    <xf numFmtId="0" fontId="55" fillId="0" borderId="12" xfId="37" applyFont="1" applyBorder="1" applyAlignment="1">
      <alignment horizontal="center" vertical="center" wrapText="1"/>
    </xf>
    <xf numFmtId="0" fontId="55" fillId="0" borderId="25" xfId="37" applyFont="1" applyBorder="1" applyAlignment="1">
      <alignment horizontal="center" vertical="center" wrapText="1"/>
    </xf>
    <xf numFmtId="0" fontId="60" fillId="0" borderId="5" xfId="37" applyFont="1" applyBorder="1" applyAlignment="1">
      <alignment horizontal="center" vertical="center" wrapText="1"/>
    </xf>
    <xf numFmtId="0" fontId="60" fillId="0" borderId="12" xfId="37" applyFont="1" applyBorder="1" applyAlignment="1">
      <alignment horizontal="center" vertical="center" wrapText="1"/>
    </xf>
    <xf numFmtId="0" fontId="55" fillId="0" borderId="2" xfId="37" applyFont="1" applyFill="1" applyBorder="1" applyAlignment="1">
      <alignment horizontal="center" vertical="center" wrapText="1"/>
    </xf>
    <xf numFmtId="0" fontId="55" fillId="0" borderId="24" xfId="37" applyFont="1" applyBorder="1" applyAlignment="1">
      <alignment horizontal="center" vertical="center"/>
    </xf>
    <xf numFmtId="0" fontId="55" fillId="0" borderId="23" xfId="37" applyFont="1" applyBorder="1" applyAlignment="1">
      <alignment horizontal="center" vertical="center"/>
    </xf>
    <xf numFmtId="0" fontId="55" fillId="0" borderId="24" xfId="37" applyFont="1" applyBorder="1" applyAlignment="1">
      <alignment horizontal="center" vertical="top"/>
    </xf>
    <xf numFmtId="0" fontId="55" fillId="0" borderId="23" xfId="37" applyFont="1" applyBorder="1" applyAlignment="1">
      <alignment horizontal="center" vertical="top"/>
    </xf>
    <xf numFmtId="0" fontId="55" fillId="0" borderId="62" xfId="37" applyFont="1" applyBorder="1" applyAlignment="1">
      <alignment horizontal="center" vertical="center" wrapText="1"/>
    </xf>
    <xf numFmtId="0" fontId="55" fillId="0" borderId="39" xfId="37" applyFont="1" applyBorder="1" applyAlignment="1">
      <alignment horizontal="center" vertical="center" wrapText="1"/>
    </xf>
    <xf numFmtId="0" fontId="55" fillId="0" borderId="30" xfId="37" applyFont="1" applyBorder="1" applyAlignment="1">
      <alignment horizontal="center" vertical="center" wrapText="1"/>
    </xf>
    <xf numFmtId="0" fontId="55" fillId="0" borderId="31" xfId="37" applyFont="1" applyBorder="1" applyAlignment="1">
      <alignment horizontal="center" vertical="center" wrapText="1"/>
    </xf>
    <xf numFmtId="0" fontId="57" fillId="52" borderId="60" xfId="37" applyFont="1" applyFill="1" applyBorder="1" applyAlignment="1">
      <alignment horizontal="center" vertical="center" wrapText="1"/>
    </xf>
    <xf numFmtId="0" fontId="37" fillId="45" borderId="7" xfId="0" applyFont="1" applyFill="1" applyBorder="1" applyAlignment="1">
      <alignment horizontal="center" vertical="center" textRotation="90" wrapText="1"/>
    </xf>
    <xf numFmtId="0" fontId="37" fillId="45" borderId="20" xfId="0" applyFont="1" applyFill="1" applyBorder="1" applyAlignment="1">
      <alignment horizontal="center" vertical="center" textRotation="90" wrapText="1"/>
    </xf>
    <xf numFmtId="0" fontId="58" fillId="0" borderId="48" xfId="37" applyFont="1" applyBorder="1" applyAlignment="1">
      <alignment vertical="center" wrapText="1"/>
    </xf>
    <xf numFmtId="0" fontId="58" fillId="0" borderId="54" xfId="37" applyFont="1" applyBorder="1" applyAlignment="1">
      <alignment vertical="center" wrapText="1"/>
    </xf>
    <xf numFmtId="0" fontId="37" fillId="47" borderId="7" xfId="0" applyFont="1" applyFill="1" applyBorder="1" applyAlignment="1">
      <alignment horizontal="center" vertical="center" textRotation="90" wrapText="1"/>
    </xf>
    <xf numFmtId="0" fontId="37" fillId="47" borderId="20" xfId="0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60" xfId="0" applyFont="1" applyFill="1" applyBorder="1" applyAlignment="1">
      <alignment horizontal="right" vertical="center"/>
    </xf>
    <xf numFmtId="0" fontId="40" fillId="0" borderId="37" xfId="0" applyFont="1" applyFill="1" applyBorder="1" applyAlignment="1">
      <alignment horizontal="right" vertical="center"/>
    </xf>
    <xf numFmtId="0" fontId="40" fillId="0" borderId="38" xfId="0" applyFont="1" applyFill="1" applyBorder="1" applyAlignment="1">
      <alignment horizontal="right" vertical="center"/>
    </xf>
    <xf numFmtId="0" fontId="42" fillId="37" borderId="5" xfId="37" applyFont="1" applyFill="1" applyBorder="1" applyAlignment="1">
      <alignment horizontal="center" vertical="center" wrapText="1"/>
    </xf>
    <xf numFmtId="0" fontId="42" fillId="37" borderId="11" xfId="37" applyFont="1" applyFill="1" applyBorder="1" applyAlignment="1">
      <alignment horizontal="center" vertical="center" wrapText="1"/>
    </xf>
    <xf numFmtId="0" fontId="42" fillId="37" borderId="21" xfId="37" applyFont="1" applyFill="1" applyBorder="1" applyAlignment="1">
      <alignment horizontal="center" vertical="center" wrapText="1"/>
    </xf>
    <xf numFmtId="0" fontId="40" fillId="0" borderId="8" xfId="37" applyFont="1" applyFill="1" applyBorder="1" applyAlignment="1">
      <alignment horizontal="left" vertical="center" wrapText="1"/>
    </xf>
    <xf numFmtId="0" fontId="42" fillId="37" borderId="24" xfId="37" applyFont="1" applyFill="1" applyBorder="1" applyAlignment="1">
      <alignment horizontal="center" vertical="center" wrapText="1"/>
    </xf>
    <xf numFmtId="0" fontId="42" fillId="37" borderId="25" xfId="37" applyFont="1" applyFill="1" applyBorder="1" applyAlignment="1">
      <alignment horizontal="center" vertical="center" wrapText="1"/>
    </xf>
    <xf numFmtId="0" fontId="42" fillId="37" borderId="26" xfId="37" applyFont="1" applyFill="1" applyBorder="1" applyAlignment="1">
      <alignment horizontal="center" vertical="center" wrapText="1"/>
    </xf>
    <xf numFmtId="0" fontId="38" fillId="42" borderId="48" xfId="37" applyFont="1" applyFill="1" applyBorder="1" applyAlignment="1">
      <alignment horizontal="center" vertical="center" wrapText="1"/>
    </xf>
    <xf numFmtId="0" fontId="38" fillId="42" borderId="55" xfId="37" applyFont="1" applyFill="1" applyBorder="1" applyAlignment="1">
      <alignment horizontal="center" vertical="center" wrapText="1"/>
    </xf>
    <xf numFmtId="0" fontId="38" fillId="42" borderId="54" xfId="37" applyFont="1" applyFill="1" applyBorder="1" applyAlignment="1">
      <alignment horizontal="center" vertical="center" wrapText="1"/>
    </xf>
    <xf numFmtId="0" fontId="40" fillId="0" borderId="60" xfId="37" applyFont="1" applyFill="1" applyBorder="1" applyAlignment="1">
      <alignment horizontal="left" vertical="center" wrapText="1"/>
    </xf>
    <xf numFmtId="0" fontId="40" fillId="0" borderId="37" xfId="37" applyFont="1" applyFill="1" applyBorder="1" applyAlignment="1">
      <alignment horizontal="left" vertical="center" wrapText="1"/>
    </xf>
    <xf numFmtId="0" fontId="40" fillId="0" borderId="38" xfId="37" applyFont="1" applyFill="1" applyBorder="1" applyAlignment="1">
      <alignment horizontal="left" vertical="center" wrapText="1"/>
    </xf>
    <xf numFmtId="0" fontId="40" fillId="0" borderId="60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right" vertical="center"/>
    </xf>
    <xf numFmtId="0" fontId="40" fillId="0" borderId="35" xfId="0" applyFont="1" applyFill="1" applyBorder="1" applyAlignment="1">
      <alignment horizontal="right" vertical="center"/>
    </xf>
    <xf numFmtId="0" fontId="40" fillId="0" borderId="39" xfId="0" applyFont="1" applyFill="1" applyBorder="1" applyAlignment="1">
      <alignment horizontal="right" vertical="center"/>
    </xf>
    <xf numFmtId="0" fontId="86" fillId="0" borderId="2" xfId="0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left" vertical="center"/>
    </xf>
    <xf numFmtId="49" fontId="82" fillId="0" borderId="2" xfId="0" applyNumberFormat="1" applyFont="1" applyFill="1" applyBorder="1" applyAlignment="1">
      <alignment horizontal="right" vertical="center"/>
    </xf>
    <xf numFmtId="0" fontId="84" fillId="52" borderId="2" xfId="37" applyFont="1" applyFill="1" applyBorder="1" applyAlignment="1">
      <alignment horizontal="center" vertical="center" wrapText="1"/>
    </xf>
    <xf numFmtId="3" fontId="83" fillId="55" borderId="2" xfId="0" applyNumberFormat="1" applyFont="1" applyFill="1" applyBorder="1" applyAlignment="1">
      <alignment horizontal="center" vertical="center"/>
    </xf>
    <xf numFmtId="0" fontId="83" fillId="55" borderId="2" xfId="0" applyFont="1" applyFill="1" applyBorder="1" applyAlignment="1">
      <alignment horizontal="center" vertical="center" wrapText="1"/>
    </xf>
    <xf numFmtId="3" fontId="83" fillId="55" borderId="2" xfId="37" applyNumberFormat="1" applyFont="1" applyFill="1" applyBorder="1" applyAlignment="1">
      <alignment horizontal="center" vertical="center" wrapText="1"/>
    </xf>
    <xf numFmtId="3" fontId="82" fillId="0" borderId="2" xfId="0" applyNumberFormat="1" applyFont="1" applyFill="1" applyBorder="1" applyAlignment="1">
      <alignment horizontal="center" vertical="center"/>
    </xf>
    <xf numFmtId="0" fontId="84" fillId="0" borderId="2" xfId="0" applyFont="1" applyFill="1" applyBorder="1" applyAlignment="1">
      <alignment horizontal="left" vertical="center" wrapText="1"/>
    </xf>
    <xf numFmtId="0" fontId="82" fillId="0" borderId="2" xfId="0" applyFont="1" applyFill="1" applyBorder="1" applyAlignment="1">
      <alignment horizontal="right" vertical="center"/>
    </xf>
    <xf numFmtId="0" fontId="83" fillId="55" borderId="2" xfId="0" applyNumberFormat="1" applyFont="1" applyFill="1" applyBorder="1" applyAlignment="1">
      <alignment horizontal="center" vertical="center" wrapText="1"/>
    </xf>
    <xf numFmtId="0" fontId="83" fillId="55" borderId="2" xfId="37" applyFont="1" applyFill="1" applyBorder="1" applyAlignment="1">
      <alignment horizontal="center" vertical="center" wrapText="1"/>
    </xf>
    <xf numFmtId="0" fontId="84" fillId="52" borderId="60" xfId="0" applyFont="1" applyFill="1" applyBorder="1" applyAlignment="1">
      <alignment horizontal="center" vertical="center"/>
    </xf>
    <xf numFmtId="0" fontId="84" fillId="52" borderId="37" xfId="0" applyFont="1" applyFill="1" applyBorder="1" applyAlignment="1">
      <alignment horizontal="center" vertical="center"/>
    </xf>
    <xf numFmtId="0" fontId="84" fillId="52" borderId="38" xfId="0" applyFont="1" applyFill="1" applyBorder="1" applyAlignment="1">
      <alignment horizontal="center" vertical="center"/>
    </xf>
    <xf numFmtId="0" fontId="84" fillId="52" borderId="2" xfId="0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 wrapText="1"/>
    </xf>
    <xf numFmtId="0" fontId="58" fillId="0" borderId="2" xfId="37" applyFont="1" applyBorder="1" applyAlignment="1">
      <alignment horizontal="center" vertical="center" wrapText="1"/>
    </xf>
    <xf numFmtId="0" fontId="57" fillId="0" borderId="2" xfId="37" applyFont="1" applyBorder="1" applyAlignment="1">
      <alignment horizontal="center" vertical="center" wrapText="1"/>
    </xf>
    <xf numFmtId="0" fontId="57" fillId="0" borderId="44" xfId="37" applyFont="1" applyBorder="1" applyAlignment="1">
      <alignment horizontal="center" vertical="center" wrapText="1"/>
    </xf>
    <xf numFmtId="0" fontId="64" fillId="48" borderId="24" xfId="45" applyFont="1" applyFill="1" applyBorder="1" applyAlignment="1">
      <alignment horizontal="center" vertical="center"/>
    </xf>
    <xf numFmtId="0" fontId="64" fillId="48" borderId="25" xfId="45" applyFont="1" applyFill="1" applyBorder="1" applyAlignment="1">
      <alignment horizontal="center" vertical="center"/>
    </xf>
    <xf numFmtId="0" fontId="64" fillId="48" borderId="23" xfId="45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32" fillId="38" borderId="25" xfId="0" applyFont="1" applyFill="1" applyBorder="1" applyAlignment="1">
      <alignment horizontal="center" vertical="center"/>
    </xf>
    <xf numFmtId="0" fontId="22" fillId="37" borderId="49" xfId="0" applyFont="1" applyFill="1" applyBorder="1" applyAlignment="1">
      <alignment horizontal="center" vertical="center"/>
    </xf>
    <xf numFmtId="0" fontId="22" fillId="37" borderId="6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2" fontId="3" fillId="39" borderId="51" xfId="0" applyNumberFormat="1" applyFont="1" applyFill="1" applyBorder="1" applyAlignment="1">
      <alignment horizontal="center" vertical="center"/>
    </xf>
    <xf numFmtId="2" fontId="3" fillId="39" borderId="36" xfId="0" applyNumberFormat="1" applyFont="1" applyFill="1" applyBorder="1" applyAlignment="1">
      <alignment horizontal="center" vertical="center"/>
    </xf>
    <xf numFmtId="2" fontId="3" fillId="39" borderId="29" xfId="0" applyNumberFormat="1" applyFont="1" applyFill="1" applyBorder="1" applyAlignment="1">
      <alignment horizontal="center" vertical="center"/>
    </xf>
    <xf numFmtId="2" fontId="3" fillId="39" borderId="49" xfId="0" applyNumberFormat="1" applyFont="1" applyFill="1" applyBorder="1" applyAlignment="1">
      <alignment horizontal="center" vertical="center"/>
    </xf>
    <xf numFmtId="2" fontId="3" fillId="39" borderId="6" xfId="0" applyNumberFormat="1" applyFont="1" applyFill="1" applyBorder="1" applyAlignment="1">
      <alignment horizontal="center" vertical="center"/>
    </xf>
    <xf numFmtId="2" fontId="3" fillId="39" borderId="26" xfId="0" applyNumberFormat="1" applyFont="1" applyFill="1" applyBorder="1" applyAlignment="1">
      <alignment horizontal="center" vertical="center"/>
    </xf>
    <xf numFmtId="164" fontId="22" fillId="37" borderId="24" xfId="0" applyNumberFormat="1" applyFont="1" applyFill="1" applyBorder="1" applyAlignment="1">
      <alignment horizontal="center" vertical="center"/>
    </xf>
    <xf numFmtId="164" fontId="22" fillId="37" borderId="25" xfId="0" applyNumberFormat="1" applyFont="1" applyFill="1" applyBorder="1" applyAlignment="1">
      <alignment horizontal="center" vertical="center"/>
    </xf>
    <xf numFmtId="164" fontId="22" fillId="37" borderId="23" xfId="0" applyNumberFormat="1" applyFont="1" applyFill="1" applyBorder="1" applyAlignment="1">
      <alignment horizontal="center" vertical="center"/>
    </xf>
    <xf numFmtId="2" fontId="5" fillId="37" borderId="24" xfId="0" applyNumberFormat="1" applyFont="1" applyFill="1" applyBorder="1" applyAlignment="1">
      <alignment horizontal="center" vertical="center"/>
    </xf>
    <xf numFmtId="2" fontId="5" fillId="37" borderId="25" xfId="0" applyNumberFormat="1" applyFont="1" applyFill="1" applyBorder="1" applyAlignment="1">
      <alignment horizontal="center" vertical="center"/>
    </xf>
    <xf numFmtId="2" fontId="5" fillId="37" borderId="23" xfId="0" applyNumberFormat="1" applyFont="1" applyFill="1" applyBorder="1" applyAlignment="1">
      <alignment horizontal="center" vertical="center"/>
    </xf>
    <xf numFmtId="2" fontId="22" fillId="37" borderId="24" xfId="0" applyNumberFormat="1" applyFont="1" applyFill="1" applyBorder="1" applyAlignment="1">
      <alignment horizontal="center" vertical="center"/>
    </xf>
    <xf numFmtId="2" fontId="22" fillId="37" borderId="2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50" fillId="35" borderId="0" xfId="0" applyNumberFormat="1" applyFont="1" applyFill="1" applyBorder="1" applyAlignment="1">
      <alignment horizontal="center" vertical="center"/>
    </xf>
    <xf numFmtId="0" fontId="9" fillId="51" borderId="24" xfId="0" applyFont="1" applyFill="1" applyBorder="1" applyAlignment="1">
      <alignment horizontal="center" vertical="center"/>
    </xf>
    <xf numFmtId="0" fontId="9" fillId="51" borderId="25" xfId="0" applyFont="1" applyFill="1" applyBorder="1" applyAlignment="1">
      <alignment horizontal="center" vertical="center"/>
    </xf>
    <xf numFmtId="0" fontId="9" fillId="51" borderId="23" xfId="0" applyFont="1" applyFill="1" applyBorder="1" applyAlignment="1">
      <alignment horizontal="center" vertical="center"/>
    </xf>
    <xf numFmtId="2" fontId="52" fillId="37" borderId="24" xfId="0" applyNumberFormat="1" applyFont="1" applyFill="1" applyBorder="1" applyAlignment="1">
      <alignment horizontal="center" vertical="center"/>
    </xf>
    <xf numFmtId="2" fontId="52" fillId="37" borderId="25" xfId="0" applyNumberFormat="1" applyFont="1" applyFill="1" applyBorder="1" applyAlignment="1">
      <alignment horizontal="center" vertical="center"/>
    </xf>
    <xf numFmtId="2" fontId="52" fillId="37" borderId="23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/>
    </xf>
    <xf numFmtId="0" fontId="3" fillId="48" borderId="25" xfId="0" applyFont="1" applyFill="1" applyBorder="1" applyAlignment="1">
      <alignment horizontal="center" vertical="center"/>
    </xf>
    <xf numFmtId="0" fontId="3" fillId="48" borderId="23" xfId="0" applyFont="1" applyFill="1" applyBorder="1" applyAlignment="1">
      <alignment horizontal="center" vertical="center"/>
    </xf>
    <xf numFmtId="0" fontId="50" fillId="35" borderId="3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3" fillId="37" borderId="24" xfId="0" applyNumberFormat="1" applyFont="1" applyFill="1" applyBorder="1" applyAlignment="1">
      <alignment horizontal="center" vertical="center"/>
    </xf>
    <xf numFmtId="2" fontId="53" fillId="37" borderId="25" xfId="0" applyNumberFormat="1" applyFont="1" applyFill="1" applyBorder="1" applyAlignment="1">
      <alignment horizontal="center" vertical="center"/>
    </xf>
    <xf numFmtId="2" fontId="53" fillId="37" borderId="23" xfId="0" applyNumberFormat="1" applyFont="1" applyFill="1" applyBorder="1" applyAlignment="1">
      <alignment horizontal="center" vertical="center"/>
    </xf>
    <xf numFmtId="0" fontId="14" fillId="35" borderId="6" xfId="0" applyFont="1" applyFill="1" applyBorder="1" applyAlignment="1">
      <alignment horizontal="center" vertical="center"/>
    </xf>
    <xf numFmtId="2" fontId="52" fillId="37" borderId="51" xfId="0" applyNumberFormat="1" applyFont="1" applyFill="1" applyBorder="1" applyAlignment="1">
      <alignment horizontal="center" vertical="center" wrapText="1"/>
    </xf>
    <xf numFmtId="2" fontId="52" fillId="37" borderId="36" xfId="0" applyNumberFormat="1" applyFont="1" applyFill="1" applyBorder="1" applyAlignment="1">
      <alignment horizontal="center" vertical="center" wrapText="1"/>
    </xf>
    <xf numFmtId="2" fontId="52" fillId="37" borderId="29" xfId="0" applyNumberFormat="1" applyFont="1" applyFill="1" applyBorder="1" applyAlignment="1">
      <alignment horizontal="center" vertical="center" wrapText="1"/>
    </xf>
    <xf numFmtId="2" fontId="52" fillId="37" borderId="52" xfId="0" applyNumberFormat="1" applyFont="1" applyFill="1" applyBorder="1" applyAlignment="1">
      <alignment horizontal="center" vertical="center" wrapText="1"/>
    </xf>
    <xf numFmtId="2" fontId="52" fillId="37" borderId="0" xfId="0" applyNumberFormat="1" applyFont="1" applyFill="1" applyBorder="1" applyAlignment="1">
      <alignment horizontal="center" vertical="center" wrapText="1"/>
    </xf>
    <xf numFmtId="2" fontId="52" fillId="37" borderId="53" xfId="0" applyNumberFormat="1" applyFont="1" applyFill="1" applyBorder="1" applyAlignment="1">
      <alignment horizontal="center" vertical="center" wrapText="1"/>
    </xf>
    <xf numFmtId="2" fontId="52" fillId="37" borderId="49" xfId="0" applyNumberFormat="1" applyFont="1" applyFill="1" applyBorder="1" applyAlignment="1">
      <alignment horizontal="center" vertical="center" wrapText="1"/>
    </xf>
    <xf numFmtId="2" fontId="52" fillId="37" borderId="6" xfId="0" applyNumberFormat="1" applyFont="1" applyFill="1" applyBorder="1" applyAlignment="1">
      <alignment horizontal="center" vertical="center" wrapText="1"/>
    </xf>
    <xf numFmtId="2" fontId="52" fillId="37" borderId="2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48" borderId="51" xfId="0" applyFont="1" applyFill="1" applyBorder="1" applyAlignment="1">
      <alignment horizontal="center" vertical="center"/>
    </xf>
    <xf numFmtId="0" fontId="3" fillId="48" borderId="36" xfId="0" applyFont="1" applyFill="1" applyBorder="1" applyAlignment="1">
      <alignment horizontal="center" vertical="center"/>
    </xf>
    <xf numFmtId="0" fontId="3" fillId="48" borderId="2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left" vertical="center"/>
    </xf>
    <xf numFmtId="0" fontId="6" fillId="35" borderId="38" xfId="0" applyFont="1" applyFill="1" applyBorder="1" applyAlignment="1">
      <alignment horizontal="left" vertical="center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46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6000000}"/>
    <cellStyle name="Обычный 3" xfId="38" xr:uid="{00000000-0005-0000-0000-000027000000}"/>
    <cellStyle name="Обычный 5_Вадим, фундамент" xfId="48" xr:uid="{4F685C41-0339-4861-8F80-9FEE3C428AB0}"/>
    <cellStyle name="Обычный_Квартира московский 20.01.16" xfId="47" xr:uid="{00000000-0005-0000-0000-000028000000}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 2" xfId="42" xr:uid="{00000000-0005-0000-0000-00002C000000}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388621</xdr:colOff>
      <xdr:row>0</xdr:row>
      <xdr:rowOff>25400</xdr:rowOff>
    </xdr:from>
    <xdr:to>
      <xdr:col>8</xdr:col>
      <xdr:colOff>645458</xdr:colOff>
      <xdr:row>8</xdr:row>
      <xdr:rowOff>144507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FB1504E-AD45-40AA-8ADF-A6D0BCDFA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880" y="25400"/>
          <a:ext cx="2202179" cy="1481742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</xdr:colOff>
      <xdr:row>0</xdr:row>
      <xdr:rowOff>38100</xdr:rowOff>
    </xdr:from>
    <xdr:to>
      <xdr:col>2</xdr:col>
      <xdr:colOff>580380</xdr:colOff>
      <xdr:row>0</xdr:row>
      <xdr:rowOff>152399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13F6BD-19A6-4BE9-BD08-D93EABEB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8100"/>
          <a:ext cx="853805" cy="114299"/>
        </a:xfrm>
        <a:prstGeom prst="rect">
          <a:avLst/>
        </a:prstGeom>
      </xdr:spPr>
    </xdr:pic>
    <xdr:clientData/>
  </xdr:twoCellAnchor>
  <xdr:twoCellAnchor editAs="oneCell">
    <xdr:from>
      <xdr:col>3</xdr:col>
      <xdr:colOff>129539</xdr:colOff>
      <xdr:row>333</xdr:row>
      <xdr:rowOff>53340</xdr:rowOff>
    </xdr:from>
    <xdr:to>
      <xdr:col>6</xdr:col>
      <xdr:colOff>566828</xdr:colOff>
      <xdr:row>334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BF850E4-4185-46F7-8AE9-FEEFA0121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379" y="79895700"/>
          <a:ext cx="2106070" cy="281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ro/Documents/&#1056;&#1072;&#1073;&#1086;&#1090;&#1072;/&#1060;&#1100;&#1086;&#1088;&#1076;&#1086;&#1084;/_&#1055;&#1088;&#1077;&#1076;&#1074;&#1072;&#1088;&#1080;&#1090;&#1077;&#1083;&#1100;&#1085;&#1099;&#1081;%20&#1088;&#1072;&#1089;&#1095;&#1077;&#1090;%20-%20_______%20(_____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ro/Documents/&#1056;&#1072;&#1073;&#1086;&#1090;&#1072;/&#1060;&#1100;&#1086;&#1088;&#1076;&#1086;&#1084;/&#1057;&#1084;&#1077;&#1090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0;&#1090;&#1077;&#1083;&#1100;&#1085;&#1099;&#1081;%20&#1086;&#1090;&#1076;&#1077;&#1083;/&#1057;&#1084;&#1077;&#1090;&#1099;%20&#1090;&#1080;&#1087;&#1086;&#1074;&#1099;&#1077;%20&#1087;&#1088;&#1086;&#1077;&#1082;&#1090;&#1099;/&#1053;&#1072;&#1088;&#1074;&#1080;&#1082;/&#1053;&#1072;&#1088;&#1074;&#1080;&#1082;%20&#1040;&#1050;&#1062;&#1048;&#1071;%20&#1044;&#1050;&#1041;-015_001%20(&#1053;&#1072;&#1088;&#1074;&#1080;&#1082;%20-&#1074;&#1085;.%20&#1089;&#1090;&#1077;&#1085;&#1099;%20&#1082;&#1072;&#1088;&#1082;&#1072;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Исходная"/>
      <sheetName val="1.Комплект"/>
      <sheetName val="2. База"/>
      <sheetName val="3. Деревянные элементы"/>
      <sheetName val="4. Метизы"/>
      <sheetName val="5. Покупные"/>
      <sheetName val="Отделка"/>
      <sheetName val="6. Смета"/>
      <sheetName val="КП"/>
      <sheetName val="версии ПР"/>
    </sheetNames>
    <sheetDataSet>
      <sheetData sheetId="0">
        <row r="29">
          <cell r="J29">
            <v>0</v>
          </cell>
          <cell r="K29">
            <v>100</v>
          </cell>
          <cell r="L29">
            <v>150</v>
          </cell>
          <cell r="M29">
            <v>200</v>
          </cell>
          <cell r="N29">
            <v>250</v>
          </cell>
          <cell r="O29">
            <v>300</v>
          </cell>
        </row>
      </sheetData>
      <sheetData sheetId="1"/>
      <sheetData sheetId="2">
        <row r="226">
          <cell r="B226" t="str">
            <v>0.1. Подкладная доска</v>
          </cell>
        </row>
        <row r="227">
          <cell r="B227" t="str">
            <v xml:space="preserve">1.1. Брус стеновой наружный </v>
          </cell>
        </row>
        <row r="228">
          <cell r="B228" t="str">
            <v>1.2. Брус стеновой внутренний</v>
          </cell>
        </row>
        <row r="229">
          <cell r="B229" t="str">
            <v>2.1. Каркас - наружные стены</v>
          </cell>
        </row>
        <row r="230">
          <cell r="B230" t="str">
            <v>2.2. Каркас - внутренние стены</v>
          </cell>
        </row>
        <row r="231">
          <cell r="B231" t="str">
            <v>3.1. Стропильная система/межстропильные связи</v>
          </cell>
        </row>
        <row r="232">
          <cell r="B232" t="str">
            <v>3.2. Клееные стропила</v>
          </cell>
        </row>
        <row r="233">
          <cell r="B233" t="str">
            <v>3.3. Несущие элементы кровли (ендовы, коньковые элементы)</v>
          </cell>
        </row>
        <row r="234">
          <cell r="B234" t="str">
            <v>4.1. Лаги цокольного перекрытия</v>
          </cell>
        </row>
        <row r="235">
          <cell r="B235" t="str">
            <v>4.2. Лаги межэтажного перекрытия</v>
          </cell>
        </row>
        <row r="236">
          <cell r="B236" t="str">
            <v>4.3. Лаги чердачного перекрытия</v>
          </cell>
        </row>
        <row r="237">
          <cell r="B237" t="str">
            <v>4.4. Лаги террас и крылец</v>
          </cell>
        </row>
        <row r="238">
          <cell r="B238" t="str">
            <v>4.4. Лаги балкона</v>
          </cell>
        </row>
        <row r="239">
          <cell r="B239" t="str">
            <v>5.1. Балки цокольного перекрытий</v>
          </cell>
        </row>
        <row r="240">
          <cell r="B240" t="str">
            <v>5.2. Балки межэтажного перекрытия</v>
          </cell>
        </row>
        <row r="241">
          <cell r="B241" t="str">
            <v>5.3. Балки чердачного перекрытия</v>
          </cell>
        </row>
        <row r="242">
          <cell r="B242" t="str">
            <v>5.4. Балки террас и крылец перекрытия</v>
          </cell>
        </row>
        <row r="243">
          <cell r="B243" t="str">
            <v>5.5. Балки балкона</v>
          </cell>
        </row>
        <row r="244">
          <cell r="B244" t="str">
            <v>5.6. Прочие балки перекрытий</v>
          </cell>
        </row>
        <row r="245">
          <cell r="B245" t="str">
            <v>6.1. Опорные столбы и стойки</v>
          </cell>
        </row>
        <row r="246">
          <cell r="B246" t="str">
            <v>7.1. Проемы</v>
          </cell>
        </row>
        <row r="247">
          <cell r="B247" t="str">
            <v>7.2. Указать конструкцию-2</v>
          </cell>
        </row>
        <row r="248">
          <cell r="B248" t="str">
            <v>7.3. Указать конструкцию-3</v>
          </cell>
        </row>
        <row r="249">
          <cell r="B249" t="str">
            <v>7.4. Указать конструкцию-4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тор"/>
      <sheetName val="Лист1"/>
      <sheetName val="Расценки рабочих"/>
    </sheetNames>
    <sheetDataSet>
      <sheetData sheetId="0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51">
          <cell r="C51">
            <v>441.25</v>
          </cell>
        </row>
        <row r="52">
          <cell r="C52">
            <v>134</v>
          </cell>
        </row>
        <row r="53">
          <cell r="C53">
            <v>0</v>
          </cell>
        </row>
        <row r="54">
          <cell r="C54">
            <v>138.31</v>
          </cell>
        </row>
        <row r="55">
          <cell r="C55">
            <v>18.16</v>
          </cell>
        </row>
        <row r="56">
          <cell r="C56">
            <v>19.440000000000001</v>
          </cell>
        </row>
        <row r="57">
          <cell r="C57">
            <v>379.2</v>
          </cell>
        </row>
        <row r="58">
          <cell r="C58">
            <v>0</v>
          </cell>
        </row>
        <row r="59">
          <cell r="C59">
            <v>35</v>
          </cell>
        </row>
        <row r="60">
          <cell r="C60">
            <v>1</v>
          </cell>
        </row>
        <row r="96">
          <cell r="C96">
            <v>674.81</v>
          </cell>
        </row>
        <row r="97">
          <cell r="C97">
            <v>434.61</v>
          </cell>
        </row>
        <row r="98">
          <cell r="C98">
            <v>434.61</v>
          </cell>
        </row>
        <row r="99">
          <cell r="C99">
            <v>434.61</v>
          </cell>
        </row>
        <row r="100">
          <cell r="C100">
            <v>434.61</v>
          </cell>
        </row>
        <row r="101">
          <cell r="C101">
            <v>434.61</v>
          </cell>
        </row>
        <row r="103">
          <cell r="C103">
            <v>0</v>
          </cell>
        </row>
        <row r="105">
          <cell r="C105">
            <v>78.22999999999999</v>
          </cell>
        </row>
        <row r="106">
          <cell r="C106">
            <v>61.63</v>
          </cell>
        </row>
        <row r="107">
          <cell r="C107">
            <v>132</v>
          </cell>
        </row>
        <row r="108">
          <cell r="C108">
            <v>28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8</v>
          </cell>
        </row>
        <row r="112">
          <cell r="C112">
            <v>240</v>
          </cell>
        </row>
        <row r="113">
          <cell r="C113">
            <v>240</v>
          </cell>
        </row>
        <row r="114">
          <cell r="C114">
            <v>240</v>
          </cell>
        </row>
        <row r="115">
          <cell r="C115">
            <v>240</v>
          </cell>
        </row>
        <row r="116">
          <cell r="C116">
            <v>146</v>
          </cell>
        </row>
        <row r="117">
          <cell r="C117">
            <v>120.19999999999999</v>
          </cell>
        </row>
        <row r="118">
          <cell r="C118">
            <v>62.7</v>
          </cell>
        </row>
        <row r="119">
          <cell r="C119">
            <v>132</v>
          </cell>
        </row>
        <row r="120">
          <cell r="C120">
            <v>374.4</v>
          </cell>
        </row>
        <row r="121">
          <cell r="C121">
            <v>224.7</v>
          </cell>
        </row>
        <row r="122">
          <cell r="C122">
            <v>149.76</v>
          </cell>
        </row>
        <row r="123">
          <cell r="C123">
            <v>132</v>
          </cell>
        </row>
        <row r="153">
          <cell r="C153">
            <v>30</v>
          </cell>
        </row>
        <row r="154">
          <cell r="C154">
            <v>0</v>
          </cell>
        </row>
        <row r="155">
          <cell r="C155">
            <v>30</v>
          </cell>
        </row>
        <row r="156">
          <cell r="C156">
            <v>54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</sheetData>
      <sheetData sheetId="1"/>
      <sheetData sheetId="2">
        <row r="12">
          <cell r="D12">
            <v>2500</v>
          </cell>
        </row>
        <row r="13">
          <cell r="D13">
            <v>10</v>
          </cell>
        </row>
        <row r="14">
          <cell r="D14">
            <v>150</v>
          </cell>
        </row>
        <row r="15">
          <cell r="D15">
            <v>200</v>
          </cell>
        </row>
        <row r="16">
          <cell r="D16">
            <v>1500</v>
          </cell>
        </row>
        <row r="17">
          <cell r="D17">
            <v>30</v>
          </cell>
        </row>
        <row r="18">
          <cell r="D18">
            <v>200</v>
          </cell>
        </row>
        <row r="19">
          <cell r="D19">
            <v>5000</v>
          </cell>
        </row>
        <row r="21">
          <cell r="D21">
            <v>1200</v>
          </cell>
        </row>
        <row r="26">
          <cell r="D26">
            <v>80</v>
          </cell>
        </row>
        <row r="27">
          <cell r="D27">
            <v>150</v>
          </cell>
        </row>
        <row r="28">
          <cell r="D28">
            <v>3000</v>
          </cell>
        </row>
        <row r="29">
          <cell r="D29">
            <v>4000</v>
          </cell>
        </row>
        <row r="30">
          <cell r="D30">
            <v>6000</v>
          </cell>
        </row>
        <row r="31">
          <cell r="D31">
            <v>100</v>
          </cell>
        </row>
        <row r="32">
          <cell r="D32">
            <v>8000</v>
          </cell>
        </row>
        <row r="34">
          <cell r="D34">
            <v>1000</v>
          </cell>
        </row>
        <row r="40">
          <cell r="D40">
            <v>60</v>
          </cell>
        </row>
        <row r="41">
          <cell r="D41">
            <v>100</v>
          </cell>
        </row>
        <row r="42">
          <cell r="D42">
            <v>100</v>
          </cell>
        </row>
        <row r="43">
          <cell r="D43">
            <v>100</v>
          </cell>
        </row>
        <row r="44">
          <cell r="D44">
            <v>40</v>
          </cell>
        </row>
        <row r="45">
          <cell r="D45">
            <v>300</v>
          </cell>
        </row>
        <row r="47">
          <cell r="D47">
            <v>250</v>
          </cell>
        </row>
        <row r="49">
          <cell r="D49">
            <v>150</v>
          </cell>
        </row>
        <row r="50">
          <cell r="D50">
            <v>150</v>
          </cell>
        </row>
        <row r="51">
          <cell r="D51">
            <v>150</v>
          </cell>
        </row>
        <row r="52">
          <cell r="D52">
            <v>150</v>
          </cell>
        </row>
        <row r="53">
          <cell r="D53">
            <v>500</v>
          </cell>
        </row>
        <row r="54">
          <cell r="D54">
            <v>3000</v>
          </cell>
        </row>
        <row r="55">
          <cell r="D55">
            <v>700</v>
          </cell>
        </row>
        <row r="56">
          <cell r="D56">
            <v>125</v>
          </cell>
        </row>
        <row r="57">
          <cell r="D57">
            <v>100</v>
          </cell>
        </row>
        <row r="58">
          <cell r="D58">
            <v>50</v>
          </cell>
        </row>
        <row r="59">
          <cell r="D59">
            <v>50</v>
          </cell>
        </row>
        <row r="60">
          <cell r="D60">
            <v>50</v>
          </cell>
        </row>
        <row r="61">
          <cell r="D61">
            <v>50</v>
          </cell>
        </row>
        <row r="62">
          <cell r="D62">
            <v>120</v>
          </cell>
        </row>
        <row r="63">
          <cell r="D63">
            <v>150</v>
          </cell>
        </row>
        <row r="64">
          <cell r="D64">
            <v>50</v>
          </cell>
        </row>
        <row r="65">
          <cell r="D65">
            <v>120</v>
          </cell>
        </row>
        <row r="66">
          <cell r="D66">
            <v>300</v>
          </cell>
        </row>
        <row r="67">
          <cell r="D67">
            <v>250</v>
          </cell>
        </row>
        <row r="68">
          <cell r="D68">
            <v>700</v>
          </cell>
        </row>
        <row r="75">
          <cell r="D75">
            <v>250</v>
          </cell>
        </row>
        <row r="76">
          <cell r="D76">
            <v>100</v>
          </cell>
        </row>
        <row r="82">
          <cell r="D82">
            <v>150</v>
          </cell>
        </row>
        <row r="83">
          <cell r="D83">
            <v>50</v>
          </cell>
        </row>
        <row r="84">
          <cell r="D84">
            <v>50</v>
          </cell>
        </row>
        <row r="85">
          <cell r="D85">
            <v>30</v>
          </cell>
        </row>
        <row r="86">
          <cell r="D86">
            <v>50</v>
          </cell>
        </row>
        <row r="87">
          <cell r="D87">
            <v>200</v>
          </cell>
        </row>
        <row r="88">
          <cell r="D88">
            <v>40</v>
          </cell>
        </row>
        <row r="89">
          <cell r="D89">
            <v>70</v>
          </cell>
        </row>
        <row r="90">
          <cell r="D90">
            <v>40</v>
          </cell>
        </row>
        <row r="91">
          <cell r="D91">
            <v>70</v>
          </cell>
        </row>
        <row r="92">
          <cell r="D92">
            <v>800</v>
          </cell>
        </row>
        <row r="93">
          <cell r="D93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ные данные"/>
      <sheetName val="Комплект"/>
      <sheetName val="Клееный брус"/>
      <sheetName val="Клеен. дер. эл."/>
      <sheetName val="Дер. эл."/>
      <sheetName val="Отделка"/>
      <sheetName val="Покупные"/>
      <sheetName val="Метизы"/>
      <sheetName val="Калькулятор"/>
      <sheetName val="АКЦИЯ смета"/>
      <sheetName val="Смета НОРМ"/>
      <sheetName val="Закуп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7">
          <cell r="E17">
            <v>5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6"/>
  <sheetViews>
    <sheetView topLeftCell="C1" workbookViewId="0">
      <pane ySplit="3" topLeftCell="A244" activePane="bottomLeft" state="frozen"/>
      <selection pane="bottomLeft" activeCell="F1" sqref="F1:K65536"/>
    </sheetView>
  </sheetViews>
  <sheetFormatPr defaultRowHeight="13.2" x14ac:dyDescent="0.25"/>
  <cols>
    <col min="1" max="1" width="9.109375" hidden="1" customWidth="1"/>
    <col min="2" max="2" width="5.109375" customWidth="1"/>
    <col min="3" max="3" width="34.33203125" customWidth="1"/>
    <col min="4" max="4" width="18.5546875" customWidth="1"/>
    <col min="5" max="5" width="7.5546875" customWidth="1"/>
    <col min="7" max="9" width="0" hidden="1" customWidth="1"/>
    <col min="12" max="12" width="18.5546875" customWidth="1"/>
    <col min="13" max="13" width="10.33203125" customWidth="1"/>
    <col min="14" max="14" width="10" customWidth="1"/>
  </cols>
  <sheetData>
    <row r="1" spans="1:17" s="209" customFormat="1" ht="13.8" x14ac:dyDescent="0.25">
      <c r="A1" s="251"/>
      <c r="B1" s="251"/>
      <c r="D1" s="263"/>
      <c r="E1" s="210"/>
      <c r="F1" s="211"/>
      <c r="G1" s="212"/>
      <c r="H1" s="212"/>
      <c r="I1" s="212"/>
      <c r="J1" s="212"/>
      <c r="K1" s="212"/>
      <c r="L1" s="212"/>
      <c r="N1" s="212"/>
      <c r="Q1" s="212"/>
    </row>
    <row r="2" spans="1:17" s="209" customFormat="1" ht="13.8" x14ac:dyDescent="0.25">
      <c r="A2" s="578" t="b">
        <v>1</v>
      </c>
      <c r="B2" s="334"/>
      <c r="C2" s="603" t="s">
        <v>0</v>
      </c>
      <c r="D2" s="604"/>
      <c r="E2" s="545" t="s">
        <v>22</v>
      </c>
      <c r="F2" s="598" t="s">
        <v>184</v>
      </c>
      <c r="G2" s="545" t="s">
        <v>186</v>
      </c>
      <c r="H2" s="545"/>
      <c r="I2" s="545" t="s">
        <v>187</v>
      </c>
      <c r="J2" s="545" t="s">
        <v>188</v>
      </c>
      <c r="K2" s="545"/>
      <c r="L2" s="545" t="s">
        <v>182</v>
      </c>
      <c r="N2" s="212"/>
      <c r="Q2" s="212"/>
    </row>
    <row r="3" spans="1:17" s="212" customFormat="1" ht="14.4" thickBot="1" x14ac:dyDescent="0.3">
      <c r="A3" s="578"/>
      <c r="B3" s="334"/>
      <c r="C3" s="605"/>
      <c r="D3" s="606"/>
      <c r="E3" s="545"/>
      <c r="F3" s="598"/>
      <c r="G3" s="213" t="s">
        <v>189</v>
      </c>
      <c r="H3" s="213" t="s">
        <v>190</v>
      </c>
      <c r="I3" s="545"/>
      <c r="J3" s="213" t="s">
        <v>189</v>
      </c>
      <c r="K3" s="213" t="s">
        <v>190</v>
      </c>
      <c r="L3" s="545"/>
    </row>
    <row r="4" spans="1:17" s="209" customFormat="1" ht="18" customHeight="1" x14ac:dyDescent="0.25">
      <c r="A4" s="208" t="e">
        <f>OR(A5:A10)</f>
        <v>#REF!</v>
      </c>
      <c r="B4" s="584" t="s">
        <v>452</v>
      </c>
      <c r="C4" s="572" t="s">
        <v>191</v>
      </c>
      <c r="D4" s="572"/>
      <c r="E4" s="572"/>
      <c r="F4" s="572"/>
      <c r="G4" s="572"/>
      <c r="H4" s="572"/>
      <c r="I4" s="572"/>
      <c r="J4" s="572"/>
      <c r="K4" s="572"/>
      <c r="L4" s="607"/>
      <c r="M4" s="307"/>
      <c r="N4" s="308" t="s">
        <v>435</v>
      </c>
      <c r="O4" s="309"/>
      <c r="P4" s="310"/>
      <c r="Q4" s="212"/>
    </row>
    <row r="5" spans="1:17" s="209" customFormat="1" ht="20.100000000000001" customHeight="1" x14ac:dyDescent="0.25">
      <c r="A5" s="252" t="b">
        <f t="shared" ref="A5:A10" si="0">IF(F5&gt;0, TRUE, FALSE)</f>
        <v>0</v>
      </c>
      <c r="B5" s="585"/>
      <c r="C5" s="525" t="s">
        <v>192</v>
      </c>
      <c r="D5" s="526"/>
      <c r="E5" s="240" t="s">
        <v>193</v>
      </c>
      <c r="F5" s="316">
        <v>0</v>
      </c>
      <c r="G5" s="241"/>
      <c r="H5" s="241"/>
      <c r="I5" s="241"/>
      <c r="J5" s="241"/>
      <c r="K5" s="241"/>
      <c r="L5" s="306"/>
      <c r="M5" s="311"/>
      <c r="N5" s="312" t="s">
        <v>437</v>
      </c>
      <c r="O5" s="260"/>
      <c r="P5" s="313"/>
      <c r="Q5" s="212"/>
    </row>
    <row r="6" spans="1:17" s="209" customFormat="1" ht="20.100000000000001" customHeight="1" x14ac:dyDescent="0.25">
      <c r="A6" s="252" t="b">
        <f t="shared" si="0"/>
        <v>1</v>
      </c>
      <c r="B6" s="585"/>
      <c r="C6" s="537" t="s">
        <v>194</v>
      </c>
      <c r="D6" s="524"/>
      <c r="E6" s="215" t="s">
        <v>195</v>
      </c>
      <c r="F6" s="219">
        <v>0.5</v>
      </c>
      <c r="G6" s="217"/>
      <c r="H6" s="217"/>
      <c r="I6" s="217"/>
      <c r="J6" s="217"/>
      <c r="K6" s="217"/>
      <c r="L6" s="286"/>
      <c r="M6" s="315"/>
      <c r="N6" s="312" t="s">
        <v>434</v>
      </c>
      <c r="O6" s="260"/>
      <c r="P6" s="313"/>
      <c r="Q6" s="212"/>
    </row>
    <row r="7" spans="1:17" s="209" customFormat="1" ht="20.100000000000001" customHeight="1" thickBot="1" x14ac:dyDescent="0.3">
      <c r="A7" s="252" t="e">
        <f t="shared" si="0"/>
        <v>#REF!</v>
      </c>
      <c r="B7" s="585"/>
      <c r="C7" s="537" t="s">
        <v>196</v>
      </c>
      <c r="D7" s="524"/>
      <c r="E7" s="215" t="s">
        <v>193</v>
      </c>
      <c r="F7" s="304" t="e">
        <f>#REF!</f>
        <v>#REF!</v>
      </c>
      <c r="G7" s="217"/>
      <c r="H7" s="217"/>
      <c r="I7" s="217"/>
      <c r="J7" s="217"/>
      <c r="K7" s="217"/>
      <c r="L7" s="286"/>
      <c r="M7" s="290"/>
      <c r="N7" s="314" t="s">
        <v>436</v>
      </c>
      <c r="O7" s="291"/>
      <c r="P7" s="292"/>
      <c r="Q7" s="212"/>
    </row>
    <row r="8" spans="1:17" s="209" customFormat="1" ht="20.100000000000001" customHeight="1" x14ac:dyDescent="0.25">
      <c r="A8" s="252" t="e">
        <f t="shared" si="0"/>
        <v>#REF!</v>
      </c>
      <c r="B8" s="585"/>
      <c r="C8" s="537" t="s">
        <v>197</v>
      </c>
      <c r="D8" s="524"/>
      <c r="E8" s="215" t="s">
        <v>24</v>
      </c>
      <c r="F8" s="305" t="e">
        <f>#REF!</f>
        <v>#REF!</v>
      </c>
      <c r="G8" s="217"/>
      <c r="H8" s="217"/>
      <c r="I8" s="217"/>
      <c r="J8" s="217"/>
      <c r="K8" s="217"/>
      <c r="L8" s="218"/>
      <c r="N8" s="212"/>
      <c r="Q8" s="212"/>
    </row>
    <row r="9" spans="1:17" s="209" customFormat="1" ht="20.100000000000001" customHeight="1" x14ac:dyDescent="0.25">
      <c r="A9" s="252" t="b">
        <f t="shared" si="0"/>
        <v>0</v>
      </c>
      <c r="B9" s="585"/>
      <c r="C9" s="537" t="s">
        <v>469</v>
      </c>
      <c r="D9" s="524"/>
      <c r="E9" s="215" t="s">
        <v>24</v>
      </c>
      <c r="F9" s="305"/>
      <c r="G9" s="217"/>
      <c r="H9" s="217"/>
      <c r="I9" s="217"/>
      <c r="J9" s="217"/>
      <c r="K9" s="217"/>
      <c r="L9" s="218"/>
      <c r="N9" s="212"/>
      <c r="Q9" s="212"/>
    </row>
    <row r="10" spans="1:17" s="209" customFormat="1" ht="20.100000000000001" customHeight="1" x14ac:dyDescent="0.25">
      <c r="A10" s="252" t="b">
        <f t="shared" si="0"/>
        <v>0</v>
      </c>
      <c r="B10" s="585"/>
      <c r="C10" s="537" t="s">
        <v>199</v>
      </c>
      <c r="D10" s="524"/>
      <c r="E10" s="215" t="s">
        <v>10</v>
      </c>
      <c r="F10" s="305">
        <v>0</v>
      </c>
      <c r="G10" s="217"/>
      <c r="H10" s="217"/>
      <c r="I10" s="217"/>
      <c r="J10" s="217"/>
      <c r="K10" s="217"/>
      <c r="L10" s="218"/>
      <c r="N10" s="212"/>
      <c r="Q10" s="212"/>
    </row>
    <row r="11" spans="1:17" s="209" customFormat="1" ht="20.100000000000001" customHeight="1" x14ac:dyDescent="0.25">
      <c r="A11" s="208" t="e">
        <f>OR(A12:A22)</f>
        <v>#REF!</v>
      </c>
      <c r="B11" s="585"/>
      <c r="C11" s="550" t="s">
        <v>200</v>
      </c>
      <c r="D11" s="536"/>
      <c r="E11" s="215"/>
      <c r="F11" s="217"/>
      <c r="G11" s="217"/>
      <c r="H11" s="217"/>
      <c r="I11" s="217"/>
      <c r="J11" s="217"/>
      <c r="K11" s="217"/>
      <c r="L11" s="218"/>
      <c r="N11" s="212"/>
      <c r="Q11" s="212"/>
    </row>
    <row r="12" spans="1:17" s="209" customFormat="1" ht="20.100000000000001" customHeight="1" x14ac:dyDescent="0.25">
      <c r="A12" s="252" t="e">
        <f t="shared" ref="A12:A22" si="1">IF(F12&gt;0, TRUE, FALSE)</f>
        <v>#REF!</v>
      </c>
      <c r="B12" s="585"/>
      <c r="C12" s="537" t="s">
        <v>201</v>
      </c>
      <c r="D12" s="524"/>
      <c r="E12" s="215" t="s">
        <v>193</v>
      </c>
      <c r="F12" s="217" t="e">
        <f>#REF!+#REF!</f>
        <v>#REF!</v>
      </c>
      <c r="G12" s="217">
        <v>100</v>
      </c>
      <c r="H12" s="217" t="e">
        <f>F12*G12</f>
        <v>#REF!</v>
      </c>
      <c r="I12" s="220">
        <v>1</v>
      </c>
      <c r="J12" s="266">
        <f>ROUNDUP(G12*(100%+I12),-2)</f>
        <v>200</v>
      </c>
      <c r="K12" s="217" t="e">
        <f t="shared" ref="K12:K22" si="2">F12*J12</f>
        <v>#REF!</v>
      </c>
      <c r="L12" s="218"/>
      <c r="N12" s="212"/>
      <c r="Q12" s="212"/>
    </row>
    <row r="13" spans="1:17" s="209" customFormat="1" ht="20.100000000000001" customHeight="1" x14ac:dyDescent="0.25">
      <c r="A13" s="252" t="b">
        <f t="shared" si="1"/>
        <v>0</v>
      </c>
      <c r="B13" s="585"/>
      <c r="C13" s="537" t="s">
        <v>202</v>
      </c>
      <c r="D13" s="524"/>
      <c r="E13" s="215" t="s">
        <v>203</v>
      </c>
      <c r="F13" s="278">
        <v>0</v>
      </c>
      <c r="G13" s="217">
        <f>'[2]Расценки рабочих'!D12</f>
        <v>2500</v>
      </c>
      <c r="H13" s="217">
        <f t="shared" ref="H13:H22" si="3">F13*G13</f>
        <v>0</v>
      </c>
      <c r="I13" s="220">
        <v>1</v>
      </c>
      <c r="J13" s="266">
        <f t="shared" ref="J13:J22" si="4">ROUNDUP(G13*(100%+I13),-2)</f>
        <v>5000</v>
      </c>
      <c r="K13" s="217">
        <f t="shared" si="2"/>
        <v>0</v>
      </c>
      <c r="L13" s="218"/>
      <c r="N13" s="212"/>
      <c r="Q13" s="212"/>
    </row>
    <row r="14" spans="1:17" s="209" customFormat="1" ht="20.100000000000001" customHeight="1" x14ac:dyDescent="0.25">
      <c r="A14" s="252" t="b">
        <f t="shared" si="1"/>
        <v>0</v>
      </c>
      <c r="B14" s="585"/>
      <c r="C14" s="537" t="s">
        <v>204</v>
      </c>
      <c r="D14" s="524"/>
      <c r="E14" s="215" t="s">
        <v>193</v>
      </c>
      <c r="F14" s="217">
        <f>ROUNDUP((F5+F6*SQRT(F5)*4+SQRT(F5)*4),0)</f>
        <v>0</v>
      </c>
      <c r="G14" s="217">
        <f>'[2]Расценки рабочих'!D13</f>
        <v>10</v>
      </c>
      <c r="H14" s="217">
        <f t="shared" si="3"/>
        <v>0</v>
      </c>
      <c r="I14" s="220">
        <v>2</v>
      </c>
      <c r="J14" s="266">
        <f>ROUNDUP(G14*(100%+I14),-1)</f>
        <v>30</v>
      </c>
      <c r="K14" s="217">
        <f t="shared" si="2"/>
        <v>0</v>
      </c>
      <c r="L14" s="218"/>
      <c r="N14" s="212"/>
      <c r="Q14" s="212"/>
    </row>
    <row r="15" spans="1:17" s="209" customFormat="1" ht="20.100000000000001" customHeight="1" x14ac:dyDescent="0.25">
      <c r="A15" s="252" t="b">
        <f t="shared" si="1"/>
        <v>0</v>
      </c>
      <c r="B15" s="585"/>
      <c r="C15" s="537" t="s">
        <v>205</v>
      </c>
      <c r="D15" s="524"/>
      <c r="E15" s="215" t="s">
        <v>206</v>
      </c>
      <c r="F15" s="217">
        <f>ROUNDUP(F5*F6*1.25,-1)</f>
        <v>0</v>
      </c>
      <c r="G15" s="217">
        <f>'[2]Расценки рабочих'!D14</f>
        <v>150</v>
      </c>
      <c r="H15" s="217">
        <f t="shared" si="3"/>
        <v>0</v>
      </c>
      <c r="I15" s="220">
        <v>1.65</v>
      </c>
      <c r="J15" s="266">
        <f>ROUNDUP(G15*(100%+I15),-1)</f>
        <v>400</v>
      </c>
      <c r="K15" s="217">
        <f t="shared" si="2"/>
        <v>0</v>
      </c>
      <c r="L15" s="218"/>
      <c r="N15" s="212"/>
      <c r="Q15" s="212"/>
    </row>
    <row r="16" spans="1:17" s="209" customFormat="1" ht="20.100000000000001" customHeight="1" x14ac:dyDescent="0.25">
      <c r="A16" s="252" t="b">
        <f t="shared" si="1"/>
        <v>0</v>
      </c>
      <c r="B16" s="585"/>
      <c r="C16" s="537" t="s">
        <v>207</v>
      </c>
      <c r="D16" s="524"/>
      <c r="E16" s="215" t="s">
        <v>206</v>
      </c>
      <c r="F16" s="217">
        <f>ROUNDUP(F5*0.1*1.2,-1)</f>
        <v>0</v>
      </c>
      <c r="G16" s="217">
        <f>'[2]Расценки рабочих'!D15</f>
        <v>200</v>
      </c>
      <c r="H16" s="217">
        <f t="shared" si="3"/>
        <v>0</v>
      </c>
      <c r="I16" s="220">
        <v>1.25</v>
      </c>
      <c r="J16" s="266">
        <f>ROUNDUP(G16*(100%+I16),-1)</f>
        <v>450</v>
      </c>
      <c r="K16" s="217">
        <f t="shared" si="2"/>
        <v>0</v>
      </c>
      <c r="L16" s="218"/>
      <c r="N16" s="212"/>
      <c r="Q16" s="212"/>
    </row>
    <row r="17" spans="1:17" s="209" customFormat="1" ht="20.100000000000001" customHeight="1" x14ac:dyDescent="0.25">
      <c r="A17" s="252" t="b">
        <f t="shared" si="1"/>
        <v>0</v>
      </c>
      <c r="B17" s="585"/>
      <c r="C17" s="537" t="s">
        <v>208</v>
      </c>
      <c r="D17" s="524"/>
      <c r="E17" s="215" t="s">
        <v>10</v>
      </c>
      <c r="F17" s="278">
        <v>0</v>
      </c>
      <c r="G17" s="217">
        <f>'[2]Расценки рабочих'!D16</f>
        <v>1500</v>
      </c>
      <c r="H17" s="217">
        <f t="shared" si="3"/>
        <v>0</v>
      </c>
      <c r="I17" s="220">
        <v>1</v>
      </c>
      <c r="J17" s="266">
        <f t="shared" si="4"/>
        <v>3000</v>
      </c>
      <c r="K17" s="217">
        <f t="shared" si="2"/>
        <v>0</v>
      </c>
      <c r="L17" s="218"/>
      <c r="N17" s="212"/>
      <c r="Q17" s="212"/>
    </row>
    <row r="18" spans="1:17" s="209" customFormat="1" ht="20.100000000000001" customHeight="1" x14ac:dyDescent="0.25">
      <c r="A18" s="252" t="e">
        <f t="shared" si="1"/>
        <v>#REF!</v>
      </c>
      <c r="B18" s="585"/>
      <c r="C18" s="537" t="s">
        <v>209</v>
      </c>
      <c r="D18" s="524"/>
      <c r="E18" s="215" t="s">
        <v>193</v>
      </c>
      <c r="F18" s="217" t="e">
        <f>ROUNDUP(F7*1.1,0)</f>
        <v>#REF!</v>
      </c>
      <c r="G18" s="217">
        <f>'[2]Расценки рабочих'!D17</f>
        <v>30</v>
      </c>
      <c r="H18" s="217" t="e">
        <f t="shared" si="3"/>
        <v>#REF!</v>
      </c>
      <c r="I18" s="220">
        <v>1.4</v>
      </c>
      <c r="J18" s="266">
        <f>ROUNDUP(G18*(100%+I18),-1)</f>
        <v>80</v>
      </c>
      <c r="K18" s="217" t="e">
        <f t="shared" si="2"/>
        <v>#REF!</v>
      </c>
      <c r="L18" s="218"/>
      <c r="N18" s="212"/>
      <c r="Q18" s="212"/>
    </row>
    <row r="19" spans="1:17" s="209" customFormat="1" ht="20.100000000000001" customHeight="1" x14ac:dyDescent="0.25">
      <c r="A19" s="252" t="e">
        <f t="shared" si="1"/>
        <v>#REF!</v>
      </c>
      <c r="B19" s="585"/>
      <c r="C19" s="533" t="s">
        <v>210</v>
      </c>
      <c r="D19" s="534"/>
      <c r="E19" s="215" t="s">
        <v>193</v>
      </c>
      <c r="F19" s="278" t="e">
        <f>SQRT(F7)*4*0.2+F8*2*0.2++F9*2*0.4</f>
        <v>#REF!</v>
      </c>
      <c r="G19" s="217">
        <f>'[2]Расценки рабочих'!D18</f>
        <v>200</v>
      </c>
      <c r="H19" s="217" t="e">
        <f t="shared" si="3"/>
        <v>#REF!</v>
      </c>
      <c r="I19" s="220">
        <v>1</v>
      </c>
      <c r="J19" s="266">
        <f t="shared" si="4"/>
        <v>400</v>
      </c>
      <c r="K19" s="217" t="e">
        <f t="shared" si="2"/>
        <v>#REF!</v>
      </c>
      <c r="L19" s="218"/>
      <c r="N19" s="212"/>
      <c r="Q19" s="212"/>
    </row>
    <row r="20" spans="1:17" s="209" customFormat="1" ht="20.100000000000001" customHeight="1" x14ac:dyDescent="0.25">
      <c r="A20" s="252" t="e">
        <f t="shared" si="1"/>
        <v>#REF!</v>
      </c>
      <c r="B20" s="585"/>
      <c r="C20" s="533" t="s">
        <v>211</v>
      </c>
      <c r="D20" s="534"/>
      <c r="E20" s="215" t="s">
        <v>212</v>
      </c>
      <c r="F20" s="221" t="e">
        <f>F31+F32</f>
        <v>#REF!</v>
      </c>
      <c r="G20" s="217">
        <f>'[2]Расценки рабочих'!D19</f>
        <v>5000</v>
      </c>
      <c r="H20" s="217" t="e">
        <f t="shared" si="3"/>
        <v>#REF!</v>
      </c>
      <c r="I20" s="220">
        <v>1.7</v>
      </c>
      <c r="J20" s="266">
        <f t="shared" si="4"/>
        <v>13500</v>
      </c>
      <c r="K20" s="217" t="e">
        <f t="shared" si="2"/>
        <v>#REF!</v>
      </c>
      <c r="L20" s="218"/>
      <c r="N20" s="212"/>
      <c r="Q20" s="212"/>
    </row>
    <row r="21" spans="1:17" s="209" customFormat="1" ht="20.100000000000001" customHeight="1" x14ac:dyDescent="0.25">
      <c r="A21" s="252" t="e">
        <f t="shared" si="1"/>
        <v>#REF!</v>
      </c>
      <c r="B21" s="585"/>
      <c r="C21" s="533" t="s">
        <v>213</v>
      </c>
      <c r="D21" s="534"/>
      <c r="E21" s="215" t="s">
        <v>206</v>
      </c>
      <c r="F21" s="221" t="e">
        <f>F35</f>
        <v>#REF!</v>
      </c>
      <c r="G21" s="217">
        <v>1200</v>
      </c>
      <c r="H21" s="217" t="e">
        <f t="shared" si="3"/>
        <v>#REF!</v>
      </c>
      <c r="I21" s="220">
        <v>1.2</v>
      </c>
      <c r="J21" s="266">
        <f t="shared" si="4"/>
        <v>2700</v>
      </c>
      <c r="K21" s="217" t="e">
        <f t="shared" si="2"/>
        <v>#REF!</v>
      </c>
      <c r="L21" s="218"/>
      <c r="N21" s="212"/>
      <c r="Q21" s="212"/>
    </row>
    <row r="22" spans="1:17" s="209" customFormat="1" ht="20.100000000000001" customHeight="1" x14ac:dyDescent="0.25">
      <c r="A22" s="252" t="b">
        <f t="shared" si="1"/>
        <v>0</v>
      </c>
      <c r="B22" s="585"/>
      <c r="C22" s="533" t="s">
        <v>214</v>
      </c>
      <c r="D22" s="534"/>
      <c r="E22" s="215" t="s">
        <v>10</v>
      </c>
      <c r="F22" s="221">
        <f>F10</f>
        <v>0</v>
      </c>
      <c r="G22" s="217">
        <f>'[2]Расценки рабочих'!D21</f>
        <v>1200</v>
      </c>
      <c r="H22" s="217">
        <f t="shared" si="3"/>
        <v>0</v>
      </c>
      <c r="I22" s="220">
        <v>1</v>
      </c>
      <c r="J22" s="266">
        <f t="shared" si="4"/>
        <v>2400</v>
      </c>
      <c r="K22" s="217">
        <f t="shared" si="2"/>
        <v>0</v>
      </c>
      <c r="L22" s="218"/>
      <c r="N22" s="212"/>
      <c r="Q22" s="212"/>
    </row>
    <row r="23" spans="1:17" s="263" customFormat="1" ht="20.100000000000001" customHeight="1" x14ac:dyDescent="0.25">
      <c r="A23" s="208" t="e">
        <f>OR(A24:A36)</f>
        <v>#REF!</v>
      </c>
      <c r="B23" s="585"/>
      <c r="C23" s="551" t="s">
        <v>470</v>
      </c>
      <c r="D23" s="552"/>
      <c r="E23" s="265"/>
      <c r="F23" s="266"/>
      <c r="G23" s="266"/>
      <c r="H23" s="353" t="e">
        <f>SUM(H12:H22)</f>
        <v>#REF!</v>
      </c>
      <c r="I23" s="266"/>
      <c r="J23" s="266"/>
      <c r="K23" s="353" t="e">
        <f>SUM(K12:K22)</f>
        <v>#REF!</v>
      </c>
      <c r="L23" s="267"/>
      <c r="N23" s="264"/>
      <c r="Q23" s="264"/>
    </row>
    <row r="24" spans="1:17" s="209" customFormat="1" ht="20.100000000000001" customHeight="1" x14ac:dyDescent="0.25">
      <c r="A24" s="208" t="e">
        <f>OR(A25:A37)</f>
        <v>#REF!</v>
      </c>
      <c r="B24" s="585"/>
      <c r="C24" s="550" t="s">
        <v>215</v>
      </c>
      <c r="D24" s="536"/>
      <c r="E24" s="215"/>
      <c r="F24" s="217"/>
      <c r="G24" s="217"/>
      <c r="H24" s="217"/>
      <c r="I24" s="217"/>
      <c r="J24" s="217"/>
      <c r="K24" s="217"/>
      <c r="L24" s="218"/>
      <c r="N24" s="212"/>
      <c r="Q24" s="212"/>
    </row>
    <row r="25" spans="1:17" s="209" customFormat="1" ht="20.100000000000001" customHeight="1" x14ac:dyDescent="0.25">
      <c r="A25" s="252" t="b">
        <f t="shared" ref="A25:A37" si="5">IF(F25&gt;0, TRUE, FALSE)</f>
        <v>0</v>
      </c>
      <c r="B25" s="585"/>
      <c r="C25" s="537" t="s">
        <v>216</v>
      </c>
      <c r="D25" s="524"/>
      <c r="E25" s="215" t="s">
        <v>217</v>
      </c>
      <c r="F25" s="217">
        <f>ROUNDUP(F14/50*1.15,0)</f>
        <v>0</v>
      </c>
      <c r="G25" s="217">
        <v>1600</v>
      </c>
      <c r="H25" s="217">
        <f t="shared" ref="H25:H37" si="6">F25*G25</f>
        <v>0</v>
      </c>
      <c r="I25" s="220">
        <v>0.2</v>
      </c>
      <c r="J25" s="217">
        <f>ROUNDUP(G25*(100%+I25),-1)</f>
        <v>1920</v>
      </c>
      <c r="K25" s="217">
        <f t="shared" ref="K25:K37" si="7">F25*J25</f>
        <v>0</v>
      </c>
      <c r="L25" s="218"/>
      <c r="N25" s="212"/>
      <c r="Q25" s="212"/>
    </row>
    <row r="26" spans="1:17" s="209" customFormat="1" ht="20.100000000000001" customHeight="1" x14ac:dyDescent="0.25">
      <c r="A26" s="252" t="b">
        <f t="shared" si="5"/>
        <v>0</v>
      </c>
      <c r="B26" s="585"/>
      <c r="C26" s="537" t="s">
        <v>218</v>
      </c>
      <c r="D26" s="524"/>
      <c r="E26" s="215" t="s">
        <v>206</v>
      </c>
      <c r="F26" s="217">
        <f>F15</f>
        <v>0</v>
      </c>
      <c r="G26" s="223">
        <v>600</v>
      </c>
      <c r="H26" s="217">
        <f t="shared" si="6"/>
        <v>0</v>
      </c>
      <c r="I26" s="220">
        <v>0.2</v>
      </c>
      <c r="J26" s="217">
        <f>ROUNDUP(G26*(100%+I26),-1)</f>
        <v>720</v>
      </c>
      <c r="K26" s="217">
        <f t="shared" si="7"/>
        <v>0</v>
      </c>
      <c r="L26" s="218"/>
      <c r="N26" s="212"/>
      <c r="Q26" s="212"/>
    </row>
    <row r="27" spans="1:17" s="209" customFormat="1" ht="20.100000000000001" customHeight="1" x14ac:dyDescent="0.25">
      <c r="A27" s="252" t="b">
        <f t="shared" si="5"/>
        <v>0</v>
      </c>
      <c r="B27" s="585"/>
      <c r="C27" s="537" t="s">
        <v>219</v>
      </c>
      <c r="D27" s="524"/>
      <c r="E27" s="215" t="s">
        <v>206</v>
      </c>
      <c r="F27" s="217">
        <f>F16</f>
        <v>0</v>
      </c>
      <c r="G27" s="223">
        <v>1500</v>
      </c>
      <c r="H27" s="217">
        <f t="shared" si="6"/>
        <v>0</v>
      </c>
      <c r="I27" s="220">
        <v>0.2</v>
      </c>
      <c r="J27" s="217">
        <f>ROUNDUP(G27*(100%+I27),-1)</f>
        <v>1800</v>
      </c>
      <c r="K27" s="217">
        <f t="shared" si="7"/>
        <v>0</v>
      </c>
      <c r="L27" s="218"/>
      <c r="N27" s="212"/>
      <c r="Q27" s="212"/>
    </row>
    <row r="28" spans="1:17" s="226" customFormat="1" ht="20.100000000000001" customHeight="1" x14ac:dyDescent="0.25">
      <c r="A28" s="252" t="b">
        <f t="shared" si="5"/>
        <v>0</v>
      </c>
      <c r="B28" s="585"/>
      <c r="C28" s="548" t="s">
        <v>220</v>
      </c>
      <c r="D28" s="549"/>
      <c r="E28" s="224" t="s">
        <v>221</v>
      </c>
      <c r="F28" s="266">
        <f>F17</f>
        <v>0</v>
      </c>
      <c r="G28" s="217">
        <v>2000</v>
      </c>
      <c r="H28" s="217">
        <f t="shared" si="6"/>
        <v>0</v>
      </c>
      <c r="I28" s="220">
        <v>0.25</v>
      </c>
      <c r="J28" s="217">
        <f>ROUNDUP(G28*(100%+I28),-1)</f>
        <v>2500</v>
      </c>
      <c r="K28" s="217">
        <f t="shared" si="7"/>
        <v>0</v>
      </c>
      <c r="L28" s="225"/>
      <c r="N28" s="211"/>
      <c r="Q28" s="211"/>
    </row>
    <row r="29" spans="1:17" s="209" customFormat="1" ht="20.100000000000001" customHeight="1" x14ac:dyDescent="0.25">
      <c r="A29" s="252" t="e">
        <f t="shared" si="5"/>
        <v>#REF!</v>
      </c>
      <c r="B29" s="585"/>
      <c r="C29" s="537" t="s">
        <v>222</v>
      </c>
      <c r="D29" s="524"/>
      <c r="E29" s="215" t="s">
        <v>10</v>
      </c>
      <c r="F29" s="217" t="e">
        <f>ROUNDUP(F18/40*1.1,0)</f>
        <v>#REF!</v>
      </c>
      <c r="G29" s="217">
        <v>3700</v>
      </c>
      <c r="H29" s="217" t="e">
        <f t="shared" si="6"/>
        <v>#REF!</v>
      </c>
      <c r="I29" s="220">
        <v>0.2</v>
      </c>
      <c r="J29" s="217">
        <f>ROUNDUP(G29*(100%+I29),0)</f>
        <v>4440</v>
      </c>
      <c r="K29" s="217" t="e">
        <f t="shared" si="7"/>
        <v>#REF!</v>
      </c>
      <c r="L29" s="218"/>
      <c r="N29" s="212"/>
      <c r="Q29" s="212"/>
    </row>
    <row r="30" spans="1:17" s="226" customFormat="1" ht="20.100000000000001" customHeight="1" x14ac:dyDescent="0.25">
      <c r="A30" s="252" t="e">
        <f t="shared" si="5"/>
        <v>#REF!</v>
      </c>
      <c r="B30" s="585"/>
      <c r="C30" s="548" t="s">
        <v>223</v>
      </c>
      <c r="D30" s="549"/>
      <c r="E30" s="224" t="s">
        <v>221</v>
      </c>
      <c r="F30" s="278" t="e">
        <f>_xlfn.CEILING.MATH(F19*0.025+(SQRT(F7)*4)/1*6*0.05*0.15,1)</f>
        <v>#REF!</v>
      </c>
      <c r="G30" s="217">
        <v>10000</v>
      </c>
      <c r="H30" s="217" t="e">
        <f t="shared" si="6"/>
        <v>#REF!</v>
      </c>
      <c r="I30" s="220">
        <v>0.2</v>
      </c>
      <c r="J30" s="217">
        <f>ROUNDUP(G30*(100%+I30),-1)</f>
        <v>12000</v>
      </c>
      <c r="K30" s="217" t="e">
        <f t="shared" si="7"/>
        <v>#REF!</v>
      </c>
      <c r="L30" s="225"/>
      <c r="N30" s="211"/>
      <c r="Q30" s="211"/>
    </row>
    <row r="31" spans="1:17" s="209" customFormat="1" ht="20.100000000000001" customHeight="1" x14ac:dyDescent="0.25">
      <c r="A31" s="252" t="e">
        <f t="shared" si="5"/>
        <v>#REF!</v>
      </c>
      <c r="B31" s="585"/>
      <c r="C31" s="533" t="s">
        <v>224</v>
      </c>
      <c r="D31" s="534"/>
      <c r="E31" s="215" t="s">
        <v>212</v>
      </c>
      <c r="F31" s="221" t="e">
        <f>ROUNDUP((F7*20*0.888*1.2/1000+F8*4*0.888*1.2/1000+F8*6*0.888*1.2/1000),1)</f>
        <v>#REF!</v>
      </c>
      <c r="G31" s="227">
        <v>45000</v>
      </c>
      <c r="H31" s="217" t="e">
        <f t="shared" si="6"/>
        <v>#REF!</v>
      </c>
      <c r="I31" s="220">
        <v>0.15</v>
      </c>
      <c r="J31" s="217">
        <f>ROUNDUP(G31*(100%+I31),-1)</f>
        <v>51750</v>
      </c>
      <c r="K31" s="217" t="e">
        <f t="shared" si="7"/>
        <v>#REF!</v>
      </c>
      <c r="L31" s="218"/>
      <c r="N31" s="212"/>
      <c r="Q31" s="212"/>
    </row>
    <row r="32" spans="1:17" s="209" customFormat="1" ht="20.100000000000001" customHeight="1" x14ac:dyDescent="0.25">
      <c r="A32" s="252" t="e">
        <f t="shared" si="5"/>
        <v>#REF!</v>
      </c>
      <c r="B32" s="585"/>
      <c r="C32" s="533" t="s">
        <v>225</v>
      </c>
      <c r="D32" s="534"/>
      <c r="E32" s="215" t="s">
        <v>212</v>
      </c>
      <c r="F32" s="228" t="e">
        <f>ROUNDUP(F31*0.1,2)</f>
        <v>#REF!</v>
      </c>
      <c r="G32" s="227">
        <v>49000</v>
      </c>
      <c r="H32" s="217" t="e">
        <f t="shared" si="6"/>
        <v>#REF!</v>
      </c>
      <c r="I32" s="220">
        <v>0.15</v>
      </c>
      <c r="J32" s="217">
        <f>ROUNDUP(G32*(100%+I32),-1)</f>
        <v>56350</v>
      </c>
      <c r="K32" s="217" t="e">
        <f t="shared" si="7"/>
        <v>#REF!</v>
      </c>
      <c r="L32" s="218"/>
      <c r="N32" s="212"/>
      <c r="Q32" s="212"/>
    </row>
    <row r="33" spans="1:17" s="209" customFormat="1" ht="20.100000000000001" customHeight="1" x14ac:dyDescent="0.25">
      <c r="A33" s="252" t="e">
        <f t="shared" si="5"/>
        <v>#REF!</v>
      </c>
      <c r="B33" s="585"/>
      <c r="C33" s="533" t="s">
        <v>226</v>
      </c>
      <c r="D33" s="534"/>
      <c r="E33" s="215" t="s">
        <v>10</v>
      </c>
      <c r="F33" s="217" t="e">
        <f>ROUNDUP(F7*10/500,0)</f>
        <v>#REF!</v>
      </c>
      <c r="G33" s="223">
        <v>950</v>
      </c>
      <c r="H33" s="217" t="e">
        <f t="shared" si="6"/>
        <v>#REF!</v>
      </c>
      <c r="I33" s="220">
        <v>0.2</v>
      </c>
      <c r="J33" s="217">
        <f>ROUNDUP(G33*(100%+I33),0)</f>
        <v>1140</v>
      </c>
      <c r="K33" s="217" t="e">
        <f t="shared" si="7"/>
        <v>#REF!</v>
      </c>
      <c r="L33" s="218"/>
      <c r="N33" s="212"/>
      <c r="Q33" s="212"/>
    </row>
    <row r="34" spans="1:17" s="209" customFormat="1" ht="20.100000000000001" customHeight="1" x14ac:dyDescent="0.25">
      <c r="A34" s="252" t="e">
        <f t="shared" si="5"/>
        <v>#REF!</v>
      </c>
      <c r="B34" s="585"/>
      <c r="C34" s="533" t="s">
        <v>227</v>
      </c>
      <c r="D34" s="534"/>
      <c r="E34" s="215" t="s">
        <v>10</v>
      </c>
      <c r="F34" s="217" t="e">
        <f>ROUNDUP((F31+F32)*0.01*1000/5,0)</f>
        <v>#REF!</v>
      </c>
      <c r="G34" s="223">
        <v>480</v>
      </c>
      <c r="H34" s="217" t="e">
        <f t="shared" si="6"/>
        <v>#REF!</v>
      </c>
      <c r="I34" s="220">
        <v>0.2</v>
      </c>
      <c r="J34" s="217">
        <f>ROUNDUP(G34*(100%+I34),-1)</f>
        <v>580</v>
      </c>
      <c r="K34" s="217" t="e">
        <f t="shared" si="7"/>
        <v>#REF!</v>
      </c>
      <c r="L34" s="218"/>
      <c r="N34" s="212"/>
      <c r="Q34" s="212"/>
    </row>
    <row r="35" spans="1:17" s="209" customFormat="1" ht="20.100000000000001" customHeight="1" x14ac:dyDescent="0.25">
      <c r="A35" s="252" t="e">
        <f t="shared" si="5"/>
        <v>#REF!</v>
      </c>
      <c r="B35" s="585"/>
      <c r="C35" s="533" t="s">
        <v>228</v>
      </c>
      <c r="D35" s="534"/>
      <c r="E35" s="215" t="s">
        <v>206</v>
      </c>
      <c r="F35" s="221" t="e">
        <f>ROUNDUP((F7*0.2+F8*0.2*0.2+F9*0.2*0.15)*1.1,0)</f>
        <v>#REF!</v>
      </c>
      <c r="G35" s="227">
        <v>4150</v>
      </c>
      <c r="H35" s="217" t="e">
        <f t="shared" si="6"/>
        <v>#REF!</v>
      </c>
      <c r="I35" s="220">
        <v>0.15</v>
      </c>
      <c r="J35" s="217">
        <f>ROUNDUP(G35*(100%+I35),-1)</f>
        <v>4780</v>
      </c>
      <c r="K35" s="217" t="e">
        <f t="shared" si="7"/>
        <v>#REF!</v>
      </c>
      <c r="L35" s="218"/>
      <c r="N35" s="212"/>
      <c r="Q35" s="212"/>
    </row>
    <row r="36" spans="1:17" s="209" customFormat="1" ht="20.100000000000001" customHeight="1" x14ac:dyDescent="0.25">
      <c r="A36" s="252" t="b">
        <f t="shared" si="5"/>
        <v>0</v>
      </c>
      <c r="B36" s="585"/>
      <c r="C36" s="533" t="s">
        <v>229</v>
      </c>
      <c r="D36" s="534"/>
      <c r="E36" s="215" t="s">
        <v>10</v>
      </c>
      <c r="F36" s="221">
        <f>F22</f>
        <v>0</v>
      </c>
      <c r="G36" s="217">
        <v>2900</v>
      </c>
      <c r="H36" s="217">
        <f t="shared" si="6"/>
        <v>0</v>
      </c>
      <c r="I36" s="220">
        <v>0.25</v>
      </c>
      <c r="J36" s="217">
        <f>ROUNDUP(G36*(100%+I36),-1)</f>
        <v>3630</v>
      </c>
      <c r="K36" s="217">
        <f t="shared" si="7"/>
        <v>0</v>
      </c>
      <c r="L36" s="218"/>
      <c r="N36" s="212"/>
      <c r="Q36" s="212"/>
    </row>
    <row r="37" spans="1:17" s="209" customFormat="1" ht="20.100000000000001" customHeight="1" x14ac:dyDescent="0.25">
      <c r="A37" s="252" t="b">
        <f t="shared" si="5"/>
        <v>0</v>
      </c>
      <c r="B37" s="585"/>
      <c r="C37" s="533" t="s">
        <v>230</v>
      </c>
      <c r="D37" s="534"/>
      <c r="E37" s="215" t="s">
        <v>221</v>
      </c>
      <c r="F37" s="278">
        <v>0</v>
      </c>
      <c r="G37" s="217" t="e">
        <f>ROUNDUP(SUM(H25:H36)/50,-3)</f>
        <v>#REF!</v>
      </c>
      <c r="H37" s="217" t="e">
        <f t="shared" si="6"/>
        <v>#REF!</v>
      </c>
      <c r="I37" s="220">
        <v>0.2</v>
      </c>
      <c r="J37" s="217" t="e">
        <f>ROUNDUP(G37*(100%+I37),-3)</f>
        <v>#REF!</v>
      </c>
      <c r="K37" s="217" t="e">
        <f t="shared" si="7"/>
        <v>#REF!</v>
      </c>
      <c r="L37" s="218"/>
      <c r="N37" s="212"/>
      <c r="Q37" s="212"/>
    </row>
    <row r="38" spans="1:17" s="263" customFormat="1" ht="20.100000000000001" customHeight="1" x14ac:dyDescent="0.25">
      <c r="A38" s="208" t="e">
        <f>OR(A39:A51)</f>
        <v>#REF!</v>
      </c>
      <c r="B38" s="585"/>
      <c r="C38" s="551" t="s">
        <v>471</v>
      </c>
      <c r="D38" s="552"/>
      <c r="E38" s="265"/>
      <c r="F38" s="266"/>
      <c r="G38" s="266"/>
      <c r="H38" s="353" t="e">
        <f>SUM(H25:H37)</f>
        <v>#REF!</v>
      </c>
      <c r="I38" s="266"/>
      <c r="J38" s="266"/>
      <c r="K38" s="353" t="e">
        <f>SUM(K25:K37)</f>
        <v>#REF!</v>
      </c>
      <c r="L38" s="267"/>
      <c r="N38" s="264"/>
      <c r="Q38" s="264"/>
    </row>
    <row r="39" spans="1:17" s="209" customFormat="1" ht="20.100000000000001" customHeight="1" x14ac:dyDescent="0.25">
      <c r="A39" s="208" t="b">
        <f>OR(A40:A46)</f>
        <v>1</v>
      </c>
      <c r="B39" s="585"/>
      <c r="C39" s="550" t="s">
        <v>231</v>
      </c>
      <c r="D39" s="536"/>
      <c r="E39" s="215"/>
      <c r="F39" s="217"/>
      <c r="G39" s="217"/>
      <c r="H39" s="217"/>
      <c r="I39" s="217"/>
      <c r="J39" s="217"/>
      <c r="K39" s="217"/>
      <c r="L39" s="218"/>
      <c r="N39" s="212"/>
      <c r="Q39" s="212"/>
    </row>
    <row r="40" spans="1:17" s="209" customFormat="1" ht="20.100000000000001" customHeight="1" x14ac:dyDescent="0.25">
      <c r="A40" s="252" t="b">
        <f t="shared" ref="A40:A48" si="8">IF(F40&gt;0, TRUE, FALSE)</f>
        <v>1</v>
      </c>
      <c r="B40" s="585"/>
      <c r="C40" s="533" t="s">
        <v>232</v>
      </c>
      <c r="D40" s="534"/>
      <c r="E40" s="215" t="s">
        <v>233</v>
      </c>
      <c r="F40" s="278">
        <f>IF(F5&gt;200,4,IF(F5&gt;150,3,1))</f>
        <v>1</v>
      </c>
      <c r="G40" s="217">
        <v>12000</v>
      </c>
      <c r="H40" s="217">
        <f t="shared" ref="H40:H46" si="9">F40*G40</f>
        <v>12000</v>
      </c>
      <c r="I40" s="220">
        <v>0.3</v>
      </c>
      <c r="J40" s="217">
        <f>ROUNDUP(G40*(100%+I40),-3)</f>
        <v>16000</v>
      </c>
      <c r="K40" s="217">
        <f t="shared" ref="K40:K46" si="10">F40*J40</f>
        <v>16000</v>
      </c>
      <c r="L40" s="218" t="s">
        <v>234</v>
      </c>
      <c r="N40" s="212"/>
      <c r="Q40" s="212"/>
    </row>
    <row r="41" spans="1:17" s="209" customFormat="1" ht="20.100000000000001" customHeight="1" x14ac:dyDescent="0.25">
      <c r="A41" s="252" t="b">
        <f t="shared" si="8"/>
        <v>0</v>
      </c>
      <c r="B41" s="585"/>
      <c r="C41" s="533" t="s">
        <v>235</v>
      </c>
      <c r="D41" s="534"/>
      <c r="E41" s="215" t="s">
        <v>233</v>
      </c>
      <c r="F41" s="278">
        <v>0</v>
      </c>
      <c r="G41" s="229">
        <v>15000</v>
      </c>
      <c r="H41" s="229">
        <f t="shared" si="9"/>
        <v>0</v>
      </c>
      <c r="I41" s="230">
        <v>0.2</v>
      </c>
      <c r="J41" s="229">
        <f t="shared" ref="J41:J46" si="11">ROUNDUP(G41*(100%+I41),-1)</f>
        <v>18000</v>
      </c>
      <c r="K41" s="229">
        <f t="shared" si="10"/>
        <v>0</v>
      </c>
      <c r="L41" s="218" t="s">
        <v>234</v>
      </c>
      <c r="N41" s="212"/>
      <c r="Q41" s="212"/>
    </row>
    <row r="42" spans="1:17" s="209" customFormat="1" ht="20.100000000000001" customHeight="1" x14ac:dyDescent="0.25">
      <c r="A42" s="252" t="b">
        <f t="shared" si="8"/>
        <v>0</v>
      </c>
      <c r="B42" s="585"/>
      <c r="C42" s="533" t="s">
        <v>236</v>
      </c>
      <c r="D42" s="534"/>
      <c r="E42" s="215" t="s">
        <v>237</v>
      </c>
      <c r="F42" s="278">
        <v>0</v>
      </c>
      <c r="G42" s="229">
        <v>10000</v>
      </c>
      <c r="H42" s="229">
        <f t="shared" si="9"/>
        <v>0</v>
      </c>
      <c r="I42" s="230">
        <v>0.2</v>
      </c>
      <c r="J42" s="229">
        <f t="shared" si="11"/>
        <v>12000</v>
      </c>
      <c r="K42" s="229">
        <f t="shared" si="10"/>
        <v>0</v>
      </c>
      <c r="L42" s="218" t="s">
        <v>238</v>
      </c>
      <c r="N42" s="212"/>
      <c r="Q42" s="212"/>
    </row>
    <row r="43" spans="1:17" s="209" customFormat="1" ht="20.100000000000001" customHeight="1" x14ac:dyDescent="0.25">
      <c r="A43" s="252" t="b">
        <f t="shared" si="8"/>
        <v>0</v>
      </c>
      <c r="B43" s="585"/>
      <c r="C43" s="533" t="s">
        <v>239</v>
      </c>
      <c r="D43" s="534"/>
      <c r="E43" s="215" t="s">
        <v>240</v>
      </c>
      <c r="F43" s="278">
        <v>0</v>
      </c>
      <c r="G43" s="217">
        <v>1200</v>
      </c>
      <c r="H43" s="217">
        <f t="shared" si="9"/>
        <v>0</v>
      </c>
      <c r="I43" s="220">
        <v>0.25</v>
      </c>
      <c r="J43" s="217">
        <f t="shared" si="11"/>
        <v>1500</v>
      </c>
      <c r="K43" s="217">
        <f t="shared" si="10"/>
        <v>0</v>
      </c>
      <c r="L43" s="218"/>
      <c r="N43" s="212"/>
      <c r="Q43" s="212"/>
    </row>
    <row r="44" spans="1:17" s="209" customFormat="1" ht="20.100000000000001" customHeight="1" thickBot="1" x14ac:dyDescent="0.3">
      <c r="A44" s="252" t="b">
        <f t="shared" si="8"/>
        <v>0</v>
      </c>
      <c r="B44" s="585"/>
      <c r="C44" s="533" t="s">
        <v>241</v>
      </c>
      <c r="D44" s="534"/>
      <c r="E44" s="215" t="s">
        <v>233</v>
      </c>
      <c r="F44" s="278">
        <v>0</v>
      </c>
      <c r="G44" s="217">
        <v>15000</v>
      </c>
      <c r="H44" s="217">
        <f t="shared" si="9"/>
        <v>0</v>
      </c>
      <c r="I44" s="220">
        <v>0.2</v>
      </c>
      <c r="J44" s="217">
        <f t="shared" si="11"/>
        <v>18000</v>
      </c>
      <c r="K44" s="217">
        <f t="shared" si="10"/>
        <v>0</v>
      </c>
      <c r="L44" s="218"/>
      <c r="N44" s="212"/>
      <c r="Q44" s="212"/>
    </row>
    <row r="45" spans="1:17" s="209" customFormat="1" ht="20.100000000000001" customHeight="1" thickBot="1" x14ac:dyDescent="0.3">
      <c r="A45" s="252" t="b">
        <f t="shared" si="8"/>
        <v>0</v>
      </c>
      <c r="B45" s="585"/>
      <c r="C45" s="533" t="s">
        <v>242</v>
      </c>
      <c r="D45" s="534"/>
      <c r="E45" s="215" t="s">
        <v>243</v>
      </c>
      <c r="F45" s="278">
        <v>0</v>
      </c>
      <c r="G45" s="217">
        <v>20000</v>
      </c>
      <c r="H45" s="217">
        <f t="shared" si="9"/>
        <v>0</v>
      </c>
      <c r="I45" s="220">
        <v>0.5</v>
      </c>
      <c r="J45" s="217">
        <f t="shared" si="11"/>
        <v>30000</v>
      </c>
      <c r="K45" s="217">
        <f t="shared" si="10"/>
        <v>0</v>
      </c>
      <c r="L45" s="286" t="s">
        <v>244</v>
      </c>
      <c r="M45" s="599" t="s">
        <v>458</v>
      </c>
      <c r="N45" s="600"/>
      <c r="Q45" s="212"/>
    </row>
    <row r="46" spans="1:17" s="209" customFormat="1" ht="20.100000000000001" customHeight="1" thickBot="1" x14ac:dyDescent="0.3">
      <c r="A46" s="252" t="b">
        <f t="shared" si="8"/>
        <v>0</v>
      </c>
      <c r="B46" s="585"/>
      <c r="C46" s="533" t="s">
        <v>245</v>
      </c>
      <c r="D46" s="534"/>
      <c r="E46" s="215" t="s">
        <v>243</v>
      </c>
      <c r="F46" s="278">
        <v>0</v>
      </c>
      <c r="G46" s="217">
        <v>25000</v>
      </c>
      <c r="H46" s="217">
        <f t="shared" si="9"/>
        <v>0</v>
      </c>
      <c r="I46" s="220">
        <v>0.4</v>
      </c>
      <c r="J46" s="217">
        <f t="shared" si="11"/>
        <v>35000</v>
      </c>
      <c r="K46" s="217">
        <f t="shared" si="10"/>
        <v>0</v>
      </c>
      <c r="L46" s="286" t="s">
        <v>244</v>
      </c>
      <c r="M46" s="599" t="s">
        <v>458</v>
      </c>
      <c r="N46" s="600"/>
      <c r="Q46" s="212"/>
    </row>
    <row r="47" spans="1:17" s="209" customFormat="1" ht="20.100000000000001" customHeight="1" x14ac:dyDescent="0.25">
      <c r="A47" s="252" t="b">
        <f t="shared" si="8"/>
        <v>1</v>
      </c>
      <c r="B47" s="585"/>
      <c r="C47" s="537" t="s">
        <v>246</v>
      </c>
      <c r="D47" s="524"/>
      <c r="E47" s="215" t="s">
        <v>247</v>
      </c>
      <c r="F47" s="231">
        <v>0.1</v>
      </c>
      <c r="G47" s="217"/>
      <c r="H47" s="217" t="e">
        <f>ROUNDUP(SUM(K13:K22)*F47,0)</f>
        <v>#REF!</v>
      </c>
      <c r="I47" s="217"/>
      <c r="J47" s="217"/>
      <c r="K47" s="217" t="e">
        <f>H47</f>
        <v>#REF!</v>
      </c>
      <c r="L47" s="218"/>
      <c r="N47" s="212"/>
      <c r="Q47" s="212"/>
    </row>
    <row r="48" spans="1:17" s="209" customFormat="1" ht="20.100000000000001" customHeight="1" x14ac:dyDescent="0.25">
      <c r="A48" s="252" t="b">
        <f t="shared" si="8"/>
        <v>1</v>
      </c>
      <c r="B48" s="585"/>
      <c r="C48" s="533" t="s">
        <v>248</v>
      </c>
      <c r="D48" s="534"/>
      <c r="E48" s="215" t="s">
        <v>247</v>
      </c>
      <c r="F48" s="231">
        <v>0.06</v>
      </c>
      <c r="G48" s="217"/>
      <c r="H48" s="217" t="e">
        <f>ROUNDUP(SUM(K25:K37)*F48,0)</f>
        <v>#REF!</v>
      </c>
      <c r="I48" s="217"/>
      <c r="J48" s="217"/>
      <c r="K48" s="217" t="e">
        <f>H48</f>
        <v>#REF!</v>
      </c>
      <c r="L48" s="218"/>
      <c r="N48" s="212"/>
      <c r="Q48" s="212"/>
    </row>
    <row r="49" spans="1:17" s="209" customFormat="1" ht="20.100000000000001" customHeight="1" x14ac:dyDescent="0.25">
      <c r="A49" s="252" t="e">
        <f>IF(H49&gt;0, TRUE, FALSE)</f>
        <v>#REF!</v>
      </c>
      <c r="B49" s="585"/>
      <c r="C49" s="566" t="s">
        <v>249</v>
      </c>
      <c r="D49" s="567"/>
      <c r="E49" s="232"/>
      <c r="F49" s="233"/>
      <c r="G49" s="233"/>
      <c r="H49" s="234" t="e">
        <f>H23+H38+SUM(H40:H48)</f>
        <v>#REF!</v>
      </c>
      <c r="I49" s="233"/>
      <c r="J49" s="233"/>
      <c r="K49" s="234" t="e">
        <f>K23+K38+SUM(K40:K48)</f>
        <v>#REF!</v>
      </c>
      <c r="L49" s="235"/>
      <c r="N49" s="212"/>
      <c r="Q49" s="212"/>
    </row>
    <row r="50" spans="1:17" s="209" customFormat="1" ht="20.100000000000001" customHeight="1" x14ac:dyDescent="0.25">
      <c r="A50" s="208" t="e">
        <f>OR(A51:A58)</f>
        <v>#REF!</v>
      </c>
      <c r="B50" s="208"/>
      <c r="C50" s="539"/>
      <c r="D50" s="540"/>
      <c r="E50" s="540"/>
      <c r="F50" s="540"/>
      <c r="G50" s="540"/>
      <c r="H50" s="540"/>
      <c r="I50" s="540"/>
      <c r="J50" s="540"/>
      <c r="K50" s="540"/>
      <c r="L50" s="541"/>
      <c r="N50" s="212"/>
      <c r="Q50" s="212"/>
    </row>
    <row r="51" spans="1:17" s="209" customFormat="1" ht="20.100000000000001" customHeight="1" x14ac:dyDescent="0.25">
      <c r="A51" s="208" t="e">
        <f>OR(A52:A59)</f>
        <v>#REF!</v>
      </c>
      <c r="B51" s="582" t="s">
        <v>453</v>
      </c>
      <c r="C51" s="574" t="s">
        <v>250</v>
      </c>
      <c r="D51" s="572"/>
      <c r="E51" s="572"/>
      <c r="F51" s="572"/>
      <c r="G51" s="572"/>
      <c r="H51" s="572"/>
      <c r="I51" s="572"/>
      <c r="J51" s="572"/>
      <c r="K51" s="572"/>
      <c r="L51" s="572"/>
      <c r="N51" s="212"/>
      <c r="Q51" s="212"/>
    </row>
    <row r="52" spans="1:17" s="209" customFormat="1" ht="20.100000000000001" customHeight="1" thickBot="1" x14ac:dyDescent="0.3">
      <c r="A52" s="208" t="e">
        <f>OR(A53:A60)</f>
        <v>#REF!</v>
      </c>
      <c r="B52" s="583"/>
      <c r="C52" s="546" t="s">
        <v>200</v>
      </c>
      <c r="D52" s="547"/>
      <c r="E52" s="236"/>
      <c r="F52" s="237"/>
      <c r="G52" s="237"/>
      <c r="H52" s="237"/>
      <c r="I52" s="237"/>
      <c r="J52" s="237"/>
      <c r="K52" s="237"/>
      <c r="L52" s="238"/>
      <c r="N52" s="212"/>
      <c r="Q52" s="212"/>
    </row>
    <row r="53" spans="1:17" s="209" customFormat="1" ht="20.100000000000001" customHeight="1" thickBot="1" x14ac:dyDescent="0.3">
      <c r="A53" s="252" t="e">
        <f t="shared" ref="A53:A60" si="12">IF(F53&gt;0, TRUE, FALSE)</f>
        <v>#REF!</v>
      </c>
      <c r="B53" s="583"/>
      <c r="C53" s="523" t="s">
        <v>251</v>
      </c>
      <c r="D53" s="524"/>
      <c r="E53" s="215" t="s">
        <v>193</v>
      </c>
      <c r="F53" s="254" t="e">
        <f>#REF!+#REF!*0.5</f>
        <v>#REF!</v>
      </c>
      <c r="G53" s="217">
        <v>100</v>
      </c>
      <c r="H53" s="217" t="e">
        <f t="shared" ref="H53:H71" si="13">F53*G53</f>
        <v>#REF!</v>
      </c>
      <c r="I53" s="220">
        <v>1.5</v>
      </c>
      <c r="J53" s="217">
        <f>ROUNDUP(G53*(100%+I53),-1)</f>
        <v>250</v>
      </c>
      <c r="K53" s="217" t="e">
        <f t="shared" ref="K53:K71" si="14">F53*J53</f>
        <v>#REF!</v>
      </c>
      <c r="L53" s="286"/>
      <c r="M53" s="601" t="s">
        <v>458</v>
      </c>
      <c r="N53" s="602"/>
      <c r="Q53" s="212"/>
    </row>
    <row r="54" spans="1:17" s="209" customFormat="1" ht="20.100000000000001" customHeight="1" x14ac:dyDescent="0.25">
      <c r="A54" s="252" t="e">
        <f t="shared" si="12"/>
        <v>#REF!</v>
      </c>
      <c r="B54" s="583"/>
      <c r="C54" s="523" t="s">
        <v>252</v>
      </c>
      <c r="D54" s="524"/>
      <c r="E54" s="215" t="s">
        <v>24</v>
      </c>
      <c r="F54" s="255" t="e">
        <f>#REF!</f>
        <v>#REF!</v>
      </c>
      <c r="G54" s="217">
        <f>'[2]Расценки рабочих'!D26</f>
        <v>80</v>
      </c>
      <c r="H54" s="217" t="e">
        <f t="shared" si="13"/>
        <v>#REF!</v>
      </c>
      <c r="I54" s="220">
        <v>1.5</v>
      </c>
      <c r="J54" s="217">
        <f>ROUNDUP(G54*(100%+I54),-1)</f>
        <v>200</v>
      </c>
      <c r="K54" s="217" t="e">
        <f t="shared" si="14"/>
        <v>#REF!</v>
      </c>
      <c r="L54" s="218"/>
      <c r="N54" s="212"/>
      <c r="Q54" s="212"/>
    </row>
    <row r="55" spans="1:17" s="209" customFormat="1" ht="20.100000000000001" customHeight="1" x14ac:dyDescent="0.25">
      <c r="A55" s="252" t="b">
        <f t="shared" si="12"/>
        <v>0</v>
      </c>
      <c r="B55" s="583"/>
      <c r="C55" s="523" t="s">
        <v>253</v>
      </c>
      <c r="D55" s="524"/>
      <c r="E55" s="215" t="s">
        <v>24</v>
      </c>
      <c r="F55" s="278">
        <v>0</v>
      </c>
      <c r="G55" s="217">
        <f>'[2]Расценки рабочих'!D27</f>
        <v>150</v>
      </c>
      <c r="H55" s="217">
        <f t="shared" si="13"/>
        <v>0</v>
      </c>
      <c r="I55" s="220">
        <v>1</v>
      </c>
      <c r="J55" s="217">
        <f>ROUNDUP(G55*(100%+I55),-1)</f>
        <v>300</v>
      </c>
      <c r="K55" s="217">
        <f t="shared" si="14"/>
        <v>0</v>
      </c>
      <c r="L55" s="218"/>
      <c r="N55" s="212"/>
      <c r="Q55" s="212"/>
    </row>
    <row r="56" spans="1:17" s="209" customFormat="1" ht="20.100000000000001" customHeight="1" x14ac:dyDescent="0.25">
      <c r="A56" s="252" t="e">
        <f t="shared" si="12"/>
        <v>#REF!</v>
      </c>
      <c r="B56" s="583"/>
      <c r="C56" s="523" t="s">
        <v>254</v>
      </c>
      <c r="D56" s="524"/>
      <c r="E56" s="215" t="s">
        <v>206</v>
      </c>
      <c r="F56" s="272" t="e">
        <f>SUM(F77:F80)+F87+F88</f>
        <v>#REF!</v>
      </c>
      <c r="G56" s="217">
        <f>'[2]Расценки рабочих'!D28</f>
        <v>3000</v>
      </c>
      <c r="H56" s="217" t="e">
        <f t="shared" si="13"/>
        <v>#REF!</v>
      </c>
      <c r="I56" s="220">
        <v>1</v>
      </c>
      <c r="J56" s="217">
        <f>ROUNDUP(G56*(100%+I56),-2)</f>
        <v>6000</v>
      </c>
      <c r="K56" s="217" t="e">
        <f t="shared" si="14"/>
        <v>#REF!</v>
      </c>
      <c r="L56" s="218"/>
      <c r="N56" s="212"/>
      <c r="Q56" s="212"/>
    </row>
    <row r="57" spans="1:17" s="263" customFormat="1" ht="20.100000000000001" customHeight="1" x14ac:dyDescent="0.25">
      <c r="A57" s="252"/>
      <c r="B57" s="583"/>
      <c r="C57" s="523" t="s">
        <v>472</v>
      </c>
      <c r="D57" s="524"/>
      <c r="E57" s="265" t="s">
        <v>23</v>
      </c>
      <c r="F57" s="272" t="e">
        <f>#REF!+#REF!</f>
        <v>#REF!</v>
      </c>
      <c r="G57" s="266">
        <v>250</v>
      </c>
      <c r="H57" s="266" t="e">
        <f t="shared" si="13"/>
        <v>#REF!</v>
      </c>
      <c r="I57" s="268">
        <v>1</v>
      </c>
      <c r="J57" s="266">
        <f>ROUNDUP(G57*(100%+I57),-2)</f>
        <v>500</v>
      </c>
      <c r="K57" s="266"/>
      <c r="L57" s="267" t="s">
        <v>473</v>
      </c>
      <c r="N57" s="264"/>
      <c r="Q57" s="264"/>
    </row>
    <row r="58" spans="1:17" s="209" customFormat="1" ht="29.25" customHeight="1" x14ac:dyDescent="0.25">
      <c r="A58" s="252" t="e">
        <f t="shared" si="12"/>
        <v>#REF!</v>
      </c>
      <c r="B58" s="583"/>
      <c r="C58" s="523" t="s">
        <v>255</v>
      </c>
      <c r="D58" s="524"/>
      <c r="E58" s="215" t="s">
        <v>206</v>
      </c>
      <c r="F58" s="269" t="e">
        <f>SUM(F90:F100)+SUM(F109:F111)</f>
        <v>#REF!</v>
      </c>
      <c r="G58" s="217">
        <f>'[2]Расценки рабочих'!D29</f>
        <v>4000</v>
      </c>
      <c r="H58" s="217" t="e">
        <f t="shared" si="13"/>
        <v>#REF!</v>
      </c>
      <c r="I58" s="220">
        <v>1.5</v>
      </c>
      <c r="J58" s="217">
        <f>ROUNDUP(G58*(100%+I58),-1)</f>
        <v>10000</v>
      </c>
      <c r="K58" s="217" t="e">
        <f t="shared" si="14"/>
        <v>#REF!</v>
      </c>
      <c r="L58" s="218"/>
      <c r="N58" s="212"/>
      <c r="Q58" s="212"/>
    </row>
    <row r="59" spans="1:17" s="209" customFormat="1" ht="20.100000000000001" customHeight="1" x14ac:dyDescent="0.25">
      <c r="A59" s="252" t="e">
        <f t="shared" si="12"/>
        <v>#REF!</v>
      </c>
      <c r="B59" s="583"/>
      <c r="C59" s="523" t="s">
        <v>256</v>
      </c>
      <c r="D59" s="524"/>
      <c r="E59" s="215" t="s">
        <v>206</v>
      </c>
      <c r="F59" s="269" t="e">
        <f>SUM(F102:F107)</f>
        <v>#REF!</v>
      </c>
      <c r="G59" s="217">
        <f>'[2]Расценки рабочих'!D30</f>
        <v>6000</v>
      </c>
      <c r="H59" s="217" t="e">
        <f t="shared" si="13"/>
        <v>#REF!</v>
      </c>
      <c r="I59" s="220">
        <v>1.5</v>
      </c>
      <c r="J59" s="217">
        <f t="shared" ref="J59:J71" si="15">ROUNDUP(G59*(100%+I59),0)</f>
        <v>15000</v>
      </c>
      <c r="K59" s="217" t="e">
        <f t="shared" si="14"/>
        <v>#REF!</v>
      </c>
      <c r="L59" s="218"/>
      <c r="N59" s="212"/>
      <c r="Q59" s="212"/>
    </row>
    <row r="60" spans="1:17" s="209" customFormat="1" ht="20.100000000000001" customHeight="1" x14ac:dyDescent="0.25">
      <c r="A60" s="252" t="e">
        <f t="shared" si="12"/>
        <v>#REF!</v>
      </c>
      <c r="B60" s="583"/>
      <c r="C60" s="523" t="s">
        <v>257</v>
      </c>
      <c r="D60" s="524"/>
      <c r="E60" s="215" t="s">
        <v>193</v>
      </c>
      <c r="F60" s="254" t="e">
        <f>#REF!+#REF!</f>
        <v>#REF!</v>
      </c>
      <c r="G60" s="217">
        <f>'[2]Расценки рабочих'!D31</f>
        <v>100</v>
      </c>
      <c r="H60" s="217" t="e">
        <f t="shared" si="13"/>
        <v>#REF!</v>
      </c>
      <c r="I60" s="220">
        <v>1</v>
      </c>
      <c r="J60" s="217">
        <f t="shared" si="15"/>
        <v>200</v>
      </c>
      <c r="K60" s="217" t="e">
        <f t="shared" si="14"/>
        <v>#REF!</v>
      </c>
      <c r="L60" s="218"/>
      <c r="N60" s="212"/>
      <c r="Q60" s="212"/>
    </row>
    <row r="61" spans="1:17" s="263" customFormat="1" ht="20.100000000000001" customHeight="1" x14ac:dyDescent="0.25">
      <c r="A61" s="208" t="e">
        <f>OR(A62:A71)</f>
        <v>#REF!</v>
      </c>
      <c r="B61" s="583"/>
      <c r="C61" s="527" t="s">
        <v>447</v>
      </c>
      <c r="D61" s="528"/>
      <c r="E61" s="575"/>
      <c r="F61" s="576"/>
      <c r="G61" s="576"/>
      <c r="H61" s="576"/>
      <c r="I61" s="576"/>
      <c r="J61" s="576"/>
      <c r="K61" s="577"/>
      <c r="L61" s="267"/>
      <c r="N61" s="264"/>
      <c r="Q61" s="264"/>
    </row>
    <row r="62" spans="1:17" s="209" customFormat="1" ht="20.100000000000001" customHeight="1" x14ac:dyDescent="0.25">
      <c r="A62" s="252" t="e">
        <f t="shared" ref="A62:A71" si="16">IF(F62&gt;0, TRUE, FALSE)</f>
        <v>#REF!</v>
      </c>
      <c r="B62" s="583"/>
      <c r="C62" s="538" t="s">
        <v>406</v>
      </c>
      <c r="D62" s="538"/>
      <c r="E62" s="265" t="s">
        <v>206</v>
      </c>
      <c r="F62" s="269" t="e">
        <f>SUM(F124:F125)</f>
        <v>#REF!</v>
      </c>
      <c r="G62" s="217">
        <f>'[2]Расценки рабочих'!D32</f>
        <v>8000</v>
      </c>
      <c r="H62" s="217" t="e">
        <f t="shared" si="13"/>
        <v>#REF!</v>
      </c>
      <c r="I62" s="220">
        <v>1.2</v>
      </c>
      <c r="J62" s="217">
        <f t="shared" si="15"/>
        <v>17600</v>
      </c>
      <c r="K62" s="217" t="e">
        <f t="shared" si="14"/>
        <v>#REF!</v>
      </c>
      <c r="L62" s="218"/>
      <c r="N62" s="212"/>
      <c r="Q62" s="212"/>
    </row>
    <row r="63" spans="1:17" s="263" customFormat="1" ht="20.100000000000001" customHeight="1" x14ac:dyDescent="0.25">
      <c r="A63" s="252" t="e">
        <f t="shared" si="16"/>
        <v>#REF!</v>
      </c>
      <c r="B63" s="583"/>
      <c r="C63" s="523" t="s">
        <v>446</v>
      </c>
      <c r="D63" s="523"/>
      <c r="E63" s="265" t="s">
        <v>193</v>
      </c>
      <c r="F63" s="254" t="e">
        <f>#REF!+#REF!</f>
        <v>#REF!</v>
      </c>
      <c r="G63" s="266">
        <v>60</v>
      </c>
      <c r="H63" s="266" t="e">
        <f t="shared" si="13"/>
        <v>#REF!</v>
      </c>
      <c r="I63" s="268">
        <v>1.2</v>
      </c>
      <c r="J63" s="266">
        <f>ROUNDUP(G63*(100%+I63),-1)</f>
        <v>140</v>
      </c>
      <c r="K63" s="266" t="e">
        <f t="shared" si="14"/>
        <v>#REF!</v>
      </c>
      <c r="L63" s="283"/>
      <c r="N63" s="264"/>
      <c r="Q63" s="264"/>
    </row>
    <row r="64" spans="1:17" s="263" customFormat="1" ht="20.100000000000001" customHeight="1" x14ac:dyDescent="0.25">
      <c r="A64" s="252" t="e">
        <f t="shared" si="16"/>
        <v>#REF!</v>
      </c>
      <c r="B64" s="583"/>
      <c r="C64" s="523" t="s">
        <v>439</v>
      </c>
      <c r="D64" s="524"/>
      <c r="E64" s="330" t="s">
        <v>193</v>
      </c>
      <c r="F64" s="269" t="e">
        <f>F63</f>
        <v>#REF!</v>
      </c>
      <c r="G64" s="266">
        <v>125</v>
      </c>
      <c r="H64" s="266" t="e">
        <f t="shared" si="13"/>
        <v>#REF!</v>
      </c>
      <c r="I64" s="268">
        <v>1.35</v>
      </c>
      <c r="J64" s="266">
        <f>ROUNDUP(G64*(100%+I64),-1)</f>
        <v>300</v>
      </c>
      <c r="K64" s="266" t="e">
        <f t="shared" si="14"/>
        <v>#REF!</v>
      </c>
      <c r="L64" s="283"/>
      <c r="N64" s="264"/>
      <c r="Q64" s="264"/>
    </row>
    <row r="65" spans="1:21" s="263" customFormat="1" ht="24.75" customHeight="1" x14ac:dyDescent="0.25">
      <c r="A65" s="252" t="e">
        <f t="shared" si="16"/>
        <v>#REF!</v>
      </c>
      <c r="B65" s="583"/>
      <c r="C65" s="543" t="s">
        <v>445</v>
      </c>
      <c r="D65" s="544"/>
      <c r="E65" s="330" t="s">
        <v>193</v>
      </c>
      <c r="F65" s="269" t="e">
        <f>F63</f>
        <v>#REF!</v>
      </c>
      <c r="G65" s="266">
        <v>50</v>
      </c>
      <c r="H65" s="266" t="e">
        <f t="shared" si="13"/>
        <v>#REF!</v>
      </c>
      <c r="I65" s="268">
        <v>1.2</v>
      </c>
      <c r="J65" s="266">
        <f>ROUNDUP(G65*(100%+I65),-1)</f>
        <v>110</v>
      </c>
      <c r="K65" s="266" t="e">
        <f t="shared" si="14"/>
        <v>#REF!</v>
      </c>
      <c r="L65" s="283"/>
      <c r="N65" s="264"/>
      <c r="Q65" s="264"/>
    </row>
    <row r="66" spans="1:21" s="263" customFormat="1" ht="24.75" customHeight="1" x14ac:dyDescent="0.25">
      <c r="A66" s="252"/>
      <c r="B66" s="583"/>
      <c r="C66" s="543" t="s">
        <v>474</v>
      </c>
      <c r="D66" s="544"/>
      <c r="E66" s="354" t="s">
        <v>23</v>
      </c>
      <c r="F66" s="269" t="e">
        <f>F57</f>
        <v>#REF!</v>
      </c>
      <c r="G66" s="266">
        <v>80</v>
      </c>
      <c r="H66" s="266" t="e">
        <f t="shared" si="13"/>
        <v>#REF!</v>
      </c>
      <c r="I66" s="268">
        <v>1.1000000000000001</v>
      </c>
      <c r="J66" s="266">
        <f>ROUNDUP(G66*(100%+I66),-1)</f>
        <v>170</v>
      </c>
      <c r="K66" s="266" t="e">
        <f t="shared" si="14"/>
        <v>#REF!</v>
      </c>
      <c r="L66" s="225" t="s">
        <v>473</v>
      </c>
      <c r="N66" s="264"/>
      <c r="Q66" s="264"/>
    </row>
    <row r="67" spans="1:21" s="263" customFormat="1" ht="24.75" customHeight="1" x14ac:dyDescent="0.25">
      <c r="A67" s="252" t="e">
        <f t="shared" si="16"/>
        <v>#REF!</v>
      </c>
      <c r="B67" s="583"/>
      <c r="C67" s="521" t="s">
        <v>448</v>
      </c>
      <c r="D67" s="522"/>
      <c r="E67" s="330" t="s">
        <v>193</v>
      </c>
      <c r="F67" s="269" t="e">
        <f>#REF!</f>
        <v>#REF!</v>
      </c>
      <c r="G67" s="266">
        <v>300</v>
      </c>
      <c r="H67" s="266" t="e">
        <f>F67*G67</f>
        <v>#REF!</v>
      </c>
      <c r="I67" s="268">
        <v>1</v>
      </c>
      <c r="J67" s="266">
        <f>ROUNDUP(G67*(100%+I67),-1)</f>
        <v>600</v>
      </c>
      <c r="K67" s="266" t="e">
        <f>F67*J67</f>
        <v>#REF!</v>
      </c>
      <c r="L67" s="333"/>
      <c r="N67" s="264"/>
      <c r="Q67" s="264"/>
    </row>
    <row r="68" spans="1:21" s="263" customFormat="1" ht="20.100000000000001" customHeight="1" x14ac:dyDescent="0.25">
      <c r="A68" s="252" t="e">
        <f t="shared" si="16"/>
        <v>#REF!</v>
      </c>
      <c r="B68" s="583"/>
      <c r="C68" s="542" t="s">
        <v>407</v>
      </c>
      <c r="D68" s="526"/>
      <c r="E68" s="265" t="s">
        <v>206</v>
      </c>
      <c r="F68" s="269" t="e">
        <f>SUM(F120:F122)</f>
        <v>#REF!</v>
      </c>
      <c r="G68" s="266">
        <v>8000</v>
      </c>
      <c r="H68" s="266" t="e">
        <f>F68*G68</f>
        <v>#REF!</v>
      </c>
      <c r="I68" s="268">
        <v>1.2</v>
      </c>
      <c r="J68" s="266">
        <f>ROUNDUP(G68*(100%+I68),0)</f>
        <v>17600</v>
      </c>
      <c r="K68" s="266" t="e">
        <f>F68*J68</f>
        <v>#REF!</v>
      </c>
      <c r="L68" s="267"/>
      <c r="N68" s="264"/>
      <c r="Q68" s="264"/>
    </row>
    <row r="69" spans="1:21" s="209" customFormat="1" ht="20.100000000000001" customHeight="1" x14ac:dyDescent="0.25">
      <c r="A69" s="252" t="e">
        <f t="shared" si="16"/>
        <v>#REF!</v>
      </c>
      <c r="B69" s="583"/>
      <c r="C69" s="523" t="s">
        <v>259</v>
      </c>
      <c r="D69" s="524"/>
      <c r="E69" s="215" t="s">
        <v>10</v>
      </c>
      <c r="F69" s="254" t="e">
        <f>#REF!</f>
        <v>#REF!</v>
      </c>
      <c r="G69" s="217">
        <v>1000</v>
      </c>
      <c r="H69" s="217" t="e">
        <f t="shared" si="13"/>
        <v>#REF!</v>
      </c>
      <c r="I69" s="220">
        <v>1.2</v>
      </c>
      <c r="J69" s="217">
        <f t="shared" si="15"/>
        <v>2200</v>
      </c>
      <c r="K69" s="217" t="e">
        <f t="shared" si="14"/>
        <v>#REF!</v>
      </c>
      <c r="L69" s="218"/>
      <c r="N69" s="212"/>
      <c r="Q69" s="212"/>
    </row>
    <row r="70" spans="1:21" s="209" customFormat="1" ht="20.100000000000001" customHeight="1" x14ac:dyDescent="0.25">
      <c r="A70" s="252" t="b">
        <f t="shared" si="16"/>
        <v>0</v>
      </c>
      <c r="B70" s="583"/>
      <c r="C70" s="523" t="s">
        <v>260</v>
      </c>
      <c r="D70" s="524"/>
      <c r="E70" s="215" t="s">
        <v>10</v>
      </c>
      <c r="F70" s="279">
        <v>0</v>
      </c>
      <c r="G70" s="217">
        <f>'[2]Расценки рабочих'!D34</f>
        <v>1000</v>
      </c>
      <c r="H70" s="217">
        <f t="shared" si="13"/>
        <v>0</v>
      </c>
      <c r="I70" s="220">
        <v>4</v>
      </c>
      <c r="J70" s="217">
        <f t="shared" si="15"/>
        <v>5000</v>
      </c>
      <c r="K70" s="217">
        <f t="shared" si="14"/>
        <v>0</v>
      </c>
      <c r="L70" s="218"/>
      <c r="N70" s="212"/>
      <c r="Q70" s="212"/>
    </row>
    <row r="71" spans="1:21" s="209" customFormat="1" ht="20.100000000000001" customHeight="1" x14ac:dyDescent="0.25">
      <c r="A71" s="252" t="e">
        <f t="shared" si="16"/>
        <v>#REF!</v>
      </c>
      <c r="B71" s="583"/>
      <c r="C71" s="523" t="s">
        <v>261</v>
      </c>
      <c r="D71" s="524"/>
      <c r="E71" s="265" t="s">
        <v>193</v>
      </c>
      <c r="F71" s="269" t="e">
        <f>F133</f>
        <v>#REF!</v>
      </c>
      <c r="G71" s="217">
        <v>40</v>
      </c>
      <c r="H71" s="217" t="e">
        <f t="shared" si="13"/>
        <v>#REF!</v>
      </c>
      <c r="I71" s="220">
        <v>2</v>
      </c>
      <c r="J71" s="217">
        <f t="shared" si="15"/>
        <v>120</v>
      </c>
      <c r="K71" s="217" t="e">
        <f t="shared" si="14"/>
        <v>#REF!</v>
      </c>
      <c r="L71" s="218"/>
      <c r="N71" s="212"/>
      <c r="Q71" s="212"/>
    </row>
    <row r="72" spans="1:21" s="263" customFormat="1" ht="20.100000000000001" customHeight="1" x14ac:dyDescent="0.25">
      <c r="A72" s="208" t="e">
        <f>OR(A73:A85)</f>
        <v>#REF!</v>
      </c>
      <c r="B72" s="583"/>
      <c r="C72" s="551" t="s">
        <v>470</v>
      </c>
      <c r="D72" s="552"/>
      <c r="E72" s="265"/>
      <c r="F72" s="266"/>
      <c r="G72" s="266"/>
      <c r="H72" s="353" t="e">
        <f>SUM(H53:H71)</f>
        <v>#REF!</v>
      </c>
      <c r="I72" s="266"/>
      <c r="J72" s="266"/>
      <c r="K72" s="353" t="e">
        <f>SUM(K53:K71)</f>
        <v>#REF!</v>
      </c>
      <c r="L72" s="267"/>
      <c r="N72" s="264"/>
      <c r="Q72" s="264"/>
    </row>
    <row r="73" spans="1:21" s="209" customFormat="1" ht="20.100000000000001" customHeight="1" x14ac:dyDescent="0.25">
      <c r="A73" s="208" t="e">
        <f>OR(A74:A134)</f>
        <v>#REF!</v>
      </c>
      <c r="B73" s="583"/>
      <c r="C73" s="535" t="s">
        <v>215</v>
      </c>
      <c r="D73" s="536"/>
      <c r="E73" s="215"/>
      <c r="F73" s="217"/>
      <c r="G73" s="217"/>
      <c r="H73" s="217"/>
      <c r="I73" s="217"/>
      <c r="J73" s="217"/>
      <c r="K73" s="217"/>
      <c r="L73" s="218"/>
      <c r="N73" s="212"/>
      <c r="Q73" s="212"/>
    </row>
    <row r="74" spans="1:21" s="209" customFormat="1" ht="20.100000000000001" customHeight="1" x14ac:dyDescent="0.25">
      <c r="A74" s="252" t="e">
        <f t="shared" ref="A74:A87" si="17">IF(F74&gt;0, TRUE, FALSE)</f>
        <v>#REF!</v>
      </c>
      <c r="B74" s="583"/>
      <c r="C74" s="523" t="s">
        <v>262</v>
      </c>
      <c r="D74" s="524"/>
      <c r="E74" s="215" t="s">
        <v>217</v>
      </c>
      <c r="F74" s="255" t="e">
        <f>ROUNDUP(F54/20*1.1,0)</f>
        <v>#REF!</v>
      </c>
      <c r="G74" s="217">
        <v>1000</v>
      </c>
      <c r="H74" s="217" t="e">
        <f t="shared" ref="H74:H85" si="18">F74*G74</f>
        <v>#REF!</v>
      </c>
      <c r="I74" s="239">
        <v>0.2</v>
      </c>
      <c r="J74" s="217">
        <f>ROUNDUP(G74*(100%+I74),-2)</f>
        <v>1200</v>
      </c>
      <c r="K74" s="217" t="e">
        <f t="shared" ref="K74:K87" si="19">F74*J74</f>
        <v>#REF!</v>
      </c>
      <c r="L74" s="218"/>
      <c r="M74" s="258" t="s">
        <v>380</v>
      </c>
      <c r="N74" s="258" t="s">
        <v>263</v>
      </c>
      <c r="O74" s="258" t="s">
        <v>379</v>
      </c>
      <c r="Q74" s="212"/>
    </row>
    <row r="75" spans="1:21" s="209" customFormat="1" ht="20.100000000000001" customHeight="1" x14ac:dyDescent="0.25">
      <c r="A75" s="252" t="e">
        <f t="shared" si="17"/>
        <v>#REF!</v>
      </c>
      <c r="B75" s="583"/>
      <c r="C75" s="531" t="s">
        <v>263</v>
      </c>
      <c r="D75" s="532"/>
      <c r="E75" s="215" t="s">
        <v>206</v>
      </c>
      <c r="F75" s="257" t="e">
        <f>#REF!+#REF!</f>
        <v>#REF!</v>
      </c>
      <c r="G75" s="217">
        <v>22000</v>
      </c>
      <c r="H75" s="217" t="e">
        <f t="shared" si="18"/>
        <v>#REF!</v>
      </c>
      <c r="I75" s="239">
        <v>0.27</v>
      </c>
      <c r="J75" s="217">
        <f>ROUNDUP(G75*(100%+I75),-2)</f>
        <v>28000</v>
      </c>
      <c r="K75" s="217" t="e">
        <f t="shared" si="19"/>
        <v>#REF!</v>
      </c>
      <c r="L75" s="218"/>
      <c r="M75" s="336" t="s">
        <v>457</v>
      </c>
      <c r="Q75" s="212"/>
    </row>
    <row r="76" spans="1:21" s="209" customFormat="1" ht="20.100000000000001" customHeight="1" x14ac:dyDescent="0.25">
      <c r="A76" s="252" t="e">
        <f t="shared" si="17"/>
        <v>#REF!</v>
      </c>
      <c r="B76" s="583"/>
      <c r="C76" s="555" t="s">
        <v>264</v>
      </c>
      <c r="D76" s="549"/>
      <c r="E76" s="224" t="s">
        <v>24</v>
      </c>
      <c r="F76" s="255" t="e">
        <f>ROUNDUP(F54*1.1,-1)</f>
        <v>#REF!</v>
      </c>
      <c r="G76" s="221">
        <v>20</v>
      </c>
      <c r="H76" s="217" t="e">
        <f t="shared" si="18"/>
        <v>#REF!</v>
      </c>
      <c r="I76" s="220">
        <v>1</v>
      </c>
      <c r="J76" s="217">
        <f>ROUNDUP(G76*(100%+I76),0)</f>
        <v>40</v>
      </c>
      <c r="K76" s="217" t="e">
        <f t="shared" si="19"/>
        <v>#REF!</v>
      </c>
      <c r="L76" s="218"/>
      <c r="Q76" s="212"/>
    </row>
    <row r="77" spans="1:21" s="209" customFormat="1" ht="20.100000000000001" customHeight="1" x14ac:dyDescent="0.25">
      <c r="A77" s="252" t="e">
        <f t="shared" si="17"/>
        <v>#REF!</v>
      </c>
      <c r="B77" s="583"/>
      <c r="C77" s="531" t="s">
        <v>397</v>
      </c>
      <c r="D77" s="532"/>
      <c r="E77" s="215" t="s">
        <v>206</v>
      </c>
      <c r="F77" s="257" t="e">
        <f>#REF!+#REF!+#REF!+#REF!</f>
        <v>#REF!</v>
      </c>
      <c r="G77" s="256">
        <v>26000</v>
      </c>
      <c r="H77" s="217" t="e">
        <f t="shared" si="18"/>
        <v>#REF!</v>
      </c>
      <c r="I77" s="239"/>
      <c r="J77" s="217">
        <f>IF(G77=26000,29500,IF(G77=29500,31500))</f>
        <v>29500</v>
      </c>
      <c r="K77" s="217" t="e">
        <f t="shared" si="19"/>
        <v>#REF!</v>
      </c>
      <c r="L77" s="218"/>
      <c r="M77" s="261" t="s">
        <v>387</v>
      </c>
      <c r="N77" s="261" t="s">
        <v>388</v>
      </c>
      <c r="O77" s="261" t="s">
        <v>385</v>
      </c>
      <c r="P77" s="261" t="s">
        <v>393</v>
      </c>
      <c r="Q77" s="261" t="s">
        <v>381</v>
      </c>
      <c r="R77" s="261" t="s">
        <v>386</v>
      </c>
      <c r="S77" s="261"/>
      <c r="T77" s="261"/>
      <c r="U77" s="262"/>
    </row>
    <row r="78" spans="1:21" s="209" customFormat="1" ht="20.100000000000001" customHeight="1" x14ac:dyDescent="0.25">
      <c r="A78" s="252" t="e">
        <f t="shared" si="17"/>
        <v>#REF!</v>
      </c>
      <c r="B78" s="583"/>
      <c r="C78" s="531" t="s">
        <v>392</v>
      </c>
      <c r="D78" s="532"/>
      <c r="E78" s="215" t="s">
        <v>206</v>
      </c>
      <c r="F78" s="257" t="e">
        <f>#REF!+#REF!+#REF!+#REF!</f>
        <v>#REF!</v>
      </c>
      <c r="G78" s="256">
        <v>26000</v>
      </c>
      <c r="H78" s="217" t="e">
        <f t="shared" si="18"/>
        <v>#REF!</v>
      </c>
      <c r="I78" s="239"/>
      <c r="J78" s="266">
        <f>IF(G78=26000,29500,IF(G78=29500,31500))</f>
        <v>29500</v>
      </c>
      <c r="K78" s="217" t="e">
        <f t="shared" si="19"/>
        <v>#REF!</v>
      </c>
      <c r="L78" s="218"/>
      <c r="M78" s="261" t="s">
        <v>387</v>
      </c>
      <c r="N78" s="261" t="s">
        <v>388</v>
      </c>
      <c r="O78" s="261" t="s">
        <v>385</v>
      </c>
      <c r="P78" s="261" t="s">
        <v>393</v>
      </c>
      <c r="Q78" s="261" t="s">
        <v>381</v>
      </c>
      <c r="R78" s="261" t="s">
        <v>386</v>
      </c>
      <c r="S78" s="261"/>
      <c r="T78" s="261"/>
      <c r="U78" s="262"/>
    </row>
    <row r="79" spans="1:21" s="209" customFormat="1" ht="20.100000000000001" customHeight="1" x14ac:dyDescent="0.25">
      <c r="A79" s="252" t="e">
        <f t="shared" si="17"/>
        <v>#REF!</v>
      </c>
      <c r="B79" s="583"/>
      <c r="C79" s="531" t="s">
        <v>398</v>
      </c>
      <c r="D79" s="532"/>
      <c r="E79" s="215" t="s">
        <v>206</v>
      </c>
      <c r="F79" s="257" t="e">
        <f>#REF!+#REF!+#REF!+#REF!</f>
        <v>#REF!</v>
      </c>
      <c r="G79" s="256">
        <v>26000</v>
      </c>
      <c r="H79" s="217" t="e">
        <f t="shared" si="18"/>
        <v>#REF!</v>
      </c>
      <c r="I79" s="239"/>
      <c r="J79" s="266">
        <f>IF(G79=26000,29500,IF(G79=29500,31500))</f>
        <v>29500</v>
      </c>
      <c r="K79" s="217" t="e">
        <f t="shared" si="19"/>
        <v>#REF!</v>
      </c>
      <c r="L79" s="218"/>
      <c r="M79" s="261" t="s">
        <v>391</v>
      </c>
      <c r="N79" s="261" t="s">
        <v>389</v>
      </c>
      <c r="O79" s="261" t="s">
        <v>384</v>
      </c>
      <c r="P79" s="261" t="s">
        <v>382</v>
      </c>
      <c r="Q79" s="261" t="s">
        <v>390</v>
      </c>
      <c r="R79" s="261" t="s">
        <v>383</v>
      </c>
      <c r="S79" s="261" t="s">
        <v>396</v>
      </c>
      <c r="T79" s="261" t="s">
        <v>394</v>
      </c>
      <c r="U79" s="261" t="s">
        <v>395</v>
      </c>
    </row>
    <row r="80" spans="1:21" s="209" customFormat="1" ht="20.100000000000001" customHeight="1" x14ac:dyDescent="0.25">
      <c r="A80" s="252" t="e">
        <f t="shared" si="17"/>
        <v>#REF!</v>
      </c>
      <c r="B80" s="583"/>
      <c r="C80" s="531" t="s">
        <v>451</v>
      </c>
      <c r="D80" s="532"/>
      <c r="E80" s="215" t="s">
        <v>206</v>
      </c>
      <c r="F80" s="257" t="e">
        <f>#REF!+#REF!+#REF!+#REF!</f>
        <v>#REF!</v>
      </c>
      <c r="G80" s="256">
        <v>26000</v>
      </c>
      <c r="H80" s="217" t="e">
        <f t="shared" si="18"/>
        <v>#REF!</v>
      </c>
      <c r="I80" s="239"/>
      <c r="J80" s="266">
        <f>IF(G80=26000,29500,IF(G80=29500,31500))</f>
        <v>29500</v>
      </c>
      <c r="K80" s="217" t="e">
        <f t="shared" si="19"/>
        <v>#REF!</v>
      </c>
      <c r="L80" s="218"/>
      <c r="M80" s="261" t="s">
        <v>391</v>
      </c>
      <c r="N80" s="261" t="s">
        <v>389</v>
      </c>
      <c r="O80" s="261" t="s">
        <v>384</v>
      </c>
      <c r="P80" s="261" t="s">
        <v>382</v>
      </c>
      <c r="Q80" s="261" t="s">
        <v>390</v>
      </c>
      <c r="R80" s="261" t="s">
        <v>383</v>
      </c>
      <c r="S80" s="261" t="s">
        <v>396</v>
      </c>
      <c r="T80" s="261" t="s">
        <v>394</v>
      </c>
      <c r="U80" s="261" t="s">
        <v>395</v>
      </c>
    </row>
    <row r="81" spans="1:17" s="209" customFormat="1" ht="20.100000000000001" customHeight="1" x14ac:dyDescent="0.25">
      <c r="A81" s="252" t="e">
        <f t="shared" si="17"/>
        <v>#REF!</v>
      </c>
      <c r="B81" s="583"/>
      <c r="C81" s="523" t="s">
        <v>265</v>
      </c>
      <c r="D81" s="524"/>
      <c r="E81" s="215" t="s">
        <v>10</v>
      </c>
      <c r="F81" s="255" t="e">
        <f>#REF!/0.4</f>
        <v>#REF!</v>
      </c>
      <c r="G81" s="217">
        <v>4</v>
      </c>
      <c r="H81" s="217" t="e">
        <f t="shared" si="18"/>
        <v>#REF!</v>
      </c>
      <c r="I81" s="220">
        <v>2</v>
      </c>
      <c r="J81" s="221">
        <f t="shared" ref="J81:J86" si="20">ROUNDUP(G81*(100%+I81),0)</f>
        <v>12</v>
      </c>
      <c r="K81" s="217" t="e">
        <f t="shared" si="19"/>
        <v>#REF!</v>
      </c>
      <c r="L81" s="218"/>
      <c r="M81" s="209">
        <v>29500</v>
      </c>
      <c r="N81" s="212">
        <v>26000</v>
      </c>
      <c r="Q81" s="212"/>
    </row>
    <row r="82" spans="1:17" s="209" customFormat="1" ht="20.100000000000001" customHeight="1" x14ac:dyDescent="0.25">
      <c r="A82" s="252" t="e">
        <f t="shared" si="17"/>
        <v>#REF!</v>
      </c>
      <c r="B82" s="583"/>
      <c r="C82" s="327" t="s">
        <v>401</v>
      </c>
      <c r="D82" s="281" t="e">
        <f>#REF!</f>
        <v>#REF!</v>
      </c>
      <c r="E82" s="215" t="s">
        <v>24</v>
      </c>
      <c r="F82" s="255" t="e">
        <f>#REF!</f>
        <v>#REF!</v>
      </c>
      <c r="G82" s="221">
        <v>13</v>
      </c>
      <c r="H82" s="217" t="e">
        <f t="shared" si="18"/>
        <v>#REF!</v>
      </c>
      <c r="I82" s="220">
        <v>1</v>
      </c>
      <c r="J82" s="217">
        <f t="shared" si="20"/>
        <v>26</v>
      </c>
      <c r="K82" s="217" t="e">
        <f t="shared" si="19"/>
        <v>#REF!</v>
      </c>
      <c r="L82" s="218"/>
      <c r="N82" s="212"/>
      <c r="Q82" s="212"/>
    </row>
    <row r="83" spans="1:17" s="263" customFormat="1" ht="20.100000000000001" customHeight="1" x14ac:dyDescent="0.25">
      <c r="A83" s="252" t="e">
        <f t="shared" si="17"/>
        <v>#REF!</v>
      </c>
      <c r="B83" s="583"/>
      <c r="C83" s="327" t="s">
        <v>401</v>
      </c>
      <c r="D83" s="281" t="e">
        <f>#REF!</f>
        <v>#REF!</v>
      </c>
      <c r="E83" s="265" t="s">
        <v>24</v>
      </c>
      <c r="F83" s="255" t="e">
        <f>#REF!</f>
        <v>#REF!</v>
      </c>
      <c r="G83" s="269">
        <v>6.5</v>
      </c>
      <c r="H83" s="266" t="e">
        <f t="shared" si="18"/>
        <v>#REF!</v>
      </c>
      <c r="I83" s="268">
        <v>1</v>
      </c>
      <c r="J83" s="266">
        <f t="shared" si="20"/>
        <v>13</v>
      </c>
      <c r="K83" s="266" t="e">
        <f t="shared" si="19"/>
        <v>#REF!</v>
      </c>
      <c r="L83" s="274" t="s">
        <v>366</v>
      </c>
      <c r="N83" s="264"/>
      <c r="Q83" s="264"/>
    </row>
    <row r="84" spans="1:17" s="263" customFormat="1" ht="20.100000000000001" customHeight="1" x14ac:dyDescent="0.25">
      <c r="A84" s="252" t="e">
        <f t="shared" si="17"/>
        <v>#REF!</v>
      </c>
      <c r="B84" s="583"/>
      <c r="C84" s="329" t="s">
        <v>400</v>
      </c>
      <c r="D84" s="282" t="e">
        <f>#REF!</f>
        <v>#REF!</v>
      </c>
      <c r="E84" s="270" t="s">
        <v>24</v>
      </c>
      <c r="F84" s="255" t="e">
        <f>#REF!</f>
        <v>#REF!</v>
      </c>
      <c r="G84" s="269">
        <v>25</v>
      </c>
      <c r="H84" s="266" t="e">
        <f t="shared" si="18"/>
        <v>#REF!</v>
      </c>
      <c r="I84" s="268">
        <v>1</v>
      </c>
      <c r="J84" s="266">
        <f t="shared" si="20"/>
        <v>50</v>
      </c>
      <c r="K84" s="266" t="e">
        <f t="shared" si="19"/>
        <v>#REF!</v>
      </c>
      <c r="L84" s="277"/>
      <c r="M84" s="276"/>
      <c r="N84" s="276"/>
      <c r="O84" s="276"/>
      <c r="P84" s="276"/>
      <c r="Q84" s="264"/>
    </row>
    <row r="85" spans="1:17" s="209" customFormat="1" ht="20.100000000000001" customHeight="1" x14ac:dyDescent="0.25">
      <c r="A85" s="252" t="e">
        <f t="shared" si="17"/>
        <v>#REF!</v>
      </c>
      <c r="B85" s="583"/>
      <c r="C85" s="329" t="s">
        <v>400</v>
      </c>
      <c r="D85" s="282" t="e">
        <f>#REF!</f>
        <v>#REF!</v>
      </c>
      <c r="E85" s="224" t="s">
        <v>24</v>
      </c>
      <c r="F85" s="255" t="e">
        <f>#REF!</f>
        <v>#REF!</v>
      </c>
      <c r="G85" s="221">
        <v>25</v>
      </c>
      <c r="H85" s="217" t="e">
        <f t="shared" si="18"/>
        <v>#REF!</v>
      </c>
      <c r="I85" s="220">
        <v>1</v>
      </c>
      <c r="J85" s="217">
        <f t="shared" si="20"/>
        <v>50</v>
      </c>
      <c r="K85" s="217" t="e">
        <f t="shared" si="19"/>
        <v>#REF!</v>
      </c>
      <c r="L85" s="253"/>
      <c r="M85" s="276"/>
      <c r="N85" s="276"/>
      <c r="O85" s="276"/>
      <c r="P85" s="276"/>
      <c r="Q85" s="212"/>
    </row>
    <row r="86" spans="1:17" s="263" customFormat="1" ht="20.100000000000001" customHeight="1" x14ac:dyDescent="0.25">
      <c r="A86" s="252" t="e">
        <f t="shared" si="17"/>
        <v>#REF!</v>
      </c>
      <c r="B86" s="583"/>
      <c r="C86" s="555" t="s">
        <v>399</v>
      </c>
      <c r="D86" s="549"/>
      <c r="E86" s="270" t="s">
        <v>24</v>
      </c>
      <c r="F86" s="255" t="e">
        <f>#REF!</f>
        <v>#REF!</v>
      </c>
      <c r="G86" s="269">
        <v>86</v>
      </c>
      <c r="H86" s="266" t="e">
        <f>F86/6*G86</f>
        <v>#REF!</v>
      </c>
      <c r="I86" s="268">
        <v>1</v>
      </c>
      <c r="J86" s="266">
        <f t="shared" si="20"/>
        <v>172</v>
      </c>
      <c r="K86" s="266" t="e">
        <f t="shared" si="19"/>
        <v>#REF!</v>
      </c>
      <c r="L86" s="267"/>
      <c r="N86" s="264"/>
      <c r="Q86" s="264"/>
    </row>
    <row r="87" spans="1:17" s="209" customFormat="1" ht="20.100000000000001" customHeight="1" x14ac:dyDescent="0.25">
      <c r="A87" s="252" t="e">
        <f t="shared" si="17"/>
        <v>#REF!</v>
      </c>
      <c r="B87" s="583"/>
      <c r="C87" s="523" t="s">
        <v>266</v>
      </c>
      <c r="D87" s="524"/>
      <c r="E87" s="215" t="s">
        <v>206</v>
      </c>
      <c r="F87" s="257" t="e">
        <f>#REF!</f>
        <v>#REF!</v>
      </c>
      <c r="G87" s="217">
        <v>33500</v>
      </c>
      <c r="H87" s="217" t="e">
        <f>F87*G87</f>
        <v>#REF!</v>
      </c>
      <c r="I87" s="239">
        <v>0.1</v>
      </c>
      <c r="J87" s="217">
        <f t="shared" ref="J87:J99" si="21">ROUNDUP(G87*(100%+I87),-1)</f>
        <v>36850</v>
      </c>
      <c r="K87" s="217" t="e">
        <f t="shared" si="19"/>
        <v>#REF!</v>
      </c>
      <c r="L87" s="218"/>
      <c r="N87" s="212"/>
      <c r="Q87" s="212"/>
    </row>
    <row r="88" spans="1:17" s="263" customFormat="1" ht="20.100000000000001" customHeight="1" x14ac:dyDescent="0.25">
      <c r="A88" s="252"/>
      <c r="B88" s="583"/>
      <c r="C88" s="523" t="s">
        <v>468</v>
      </c>
      <c r="D88" s="524"/>
      <c r="E88" s="265" t="s">
        <v>206</v>
      </c>
      <c r="F88" s="257" t="e">
        <f>#REF!</f>
        <v>#REF!</v>
      </c>
      <c r="G88" s="266">
        <v>34500</v>
      </c>
      <c r="H88" s="266" t="e">
        <f>F88*G88</f>
        <v>#REF!</v>
      </c>
      <c r="I88" s="271">
        <v>0.1</v>
      </c>
      <c r="J88" s="266">
        <f>ROUNDUP(G88*(100%+I88),-1)</f>
        <v>37950</v>
      </c>
      <c r="K88" s="266" t="e">
        <f>F88*J88</f>
        <v>#REF!</v>
      </c>
      <c r="L88" s="267"/>
      <c r="N88" s="264"/>
      <c r="Q88" s="264"/>
    </row>
    <row r="89" spans="1:17" s="263" customFormat="1" ht="20.100000000000001" customHeight="1" x14ac:dyDescent="0.25">
      <c r="A89" s="252"/>
      <c r="B89" s="583"/>
      <c r="C89" s="529" t="s">
        <v>268</v>
      </c>
      <c r="D89" s="530"/>
      <c r="E89" s="265"/>
      <c r="F89" s="257"/>
      <c r="G89" s="266"/>
      <c r="H89" s="266"/>
      <c r="I89" s="271"/>
      <c r="J89" s="266"/>
      <c r="K89" s="266"/>
      <c r="L89" s="267"/>
      <c r="N89" s="264"/>
      <c r="Q89" s="264"/>
    </row>
    <row r="90" spans="1:17" s="209" customFormat="1" ht="20.100000000000001" customHeight="1" x14ac:dyDescent="0.25">
      <c r="A90" s="252" t="e">
        <f>IF(F90&gt;0, TRUE, FALSE)</f>
        <v>#REF!</v>
      </c>
      <c r="B90" s="583"/>
      <c r="C90" s="523" t="s">
        <v>267</v>
      </c>
      <c r="D90" s="524"/>
      <c r="E90" s="215" t="s">
        <v>206</v>
      </c>
      <c r="F90" s="257" t="e">
        <f>#REF!</f>
        <v>#REF!</v>
      </c>
      <c r="G90" s="217">
        <v>15000</v>
      </c>
      <c r="H90" s="217" t="e">
        <f>F90*G90</f>
        <v>#REF!</v>
      </c>
      <c r="I90" s="239">
        <v>0.39</v>
      </c>
      <c r="J90" s="217">
        <f t="shared" si="21"/>
        <v>20850</v>
      </c>
      <c r="K90" s="217" t="e">
        <f>F90*J90</f>
        <v>#REF!</v>
      </c>
      <c r="L90" s="218" t="s">
        <v>268</v>
      </c>
      <c r="M90" s="259"/>
      <c r="N90" s="212"/>
      <c r="Q90" s="212"/>
    </row>
    <row r="91" spans="1:17" s="263" customFormat="1" ht="20.100000000000001" customHeight="1" x14ac:dyDescent="0.25">
      <c r="A91" s="252"/>
      <c r="B91" s="583"/>
      <c r="C91" s="529" t="s">
        <v>183</v>
      </c>
      <c r="D91" s="530"/>
      <c r="E91" s="265"/>
      <c r="F91" s="257"/>
      <c r="G91" s="266"/>
      <c r="H91" s="266"/>
      <c r="I91" s="271"/>
      <c r="J91" s="266"/>
      <c r="K91" s="266"/>
      <c r="L91" s="324"/>
      <c r="M91" s="259"/>
      <c r="N91" s="264"/>
      <c r="Q91" s="264"/>
    </row>
    <row r="92" spans="1:17" s="209" customFormat="1" ht="20.100000000000001" customHeight="1" x14ac:dyDescent="0.25">
      <c r="A92" s="252" t="e">
        <f>IF(F92&gt;0, TRUE, FALSE)</f>
        <v>#REF!</v>
      </c>
      <c r="B92" s="583"/>
      <c r="C92" s="543" t="s">
        <v>269</v>
      </c>
      <c r="D92" s="544"/>
      <c r="E92" s="215" t="s">
        <v>206</v>
      </c>
      <c r="F92" s="257" t="e">
        <f>#REF!</f>
        <v>#REF!</v>
      </c>
      <c r="G92" s="217">
        <v>15000</v>
      </c>
      <c r="H92" s="217" t="e">
        <f>F92*G92</f>
        <v>#REF!</v>
      </c>
      <c r="I92" s="239">
        <v>0.39</v>
      </c>
      <c r="J92" s="217">
        <f t="shared" si="21"/>
        <v>20850</v>
      </c>
      <c r="K92" s="217" t="e">
        <f>F92*J92</f>
        <v>#REF!</v>
      </c>
      <c r="L92" s="563" t="s">
        <v>183</v>
      </c>
      <c r="M92" s="336" t="s">
        <v>456</v>
      </c>
      <c r="N92" s="212"/>
      <c r="Q92" s="212"/>
    </row>
    <row r="93" spans="1:17" s="209" customFormat="1" ht="20.100000000000001" customHeight="1" x14ac:dyDescent="0.25">
      <c r="A93" s="252" t="e">
        <f>IF(F93&gt;0, TRUE, FALSE)</f>
        <v>#REF!</v>
      </c>
      <c r="B93" s="583"/>
      <c r="C93" s="538" t="s">
        <v>270</v>
      </c>
      <c r="D93" s="560"/>
      <c r="E93" s="215" t="s">
        <v>206</v>
      </c>
      <c r="F93" s="257" t="e">
        <f>#REF!</f>
        <v>#REF!</v>
      </c>
      <c r="G93" s="217">
        <v>33500</v>
      </c>
      <c r="H93" s="217" t="e">
        <f>F93*G93</f>
        <v>#REF!</v>
      </c>
      <c r="I93" s="239">
        <v>0.1</v>
      </c>
      <c r="J93" s="217">
        <f t="shared" si="21"/>
        <v>36850</v>
      </c>
      <c r="K93" s="217" t="e">
        <f>F93*J93</f>
        <v>#REF!</v>
      </c>
      <c r="L93" s="564"/>
      <c r="M93" s="259"/>
      <c r="N93" s="212"/>
      <c r="Q93" s="212"/>
    </row>
    <row r="94" spans="1:17" s="263" customFormat="1" ht="20.100000000000001" customHeight="1" x14ac:dyDescent="0.25">
      <c r="A94" s="252"/>
      <c r="B94" s="583"/>
      <c r="C94" s="538" t="s">
        <v>185</v>
      </c>
      <c r="D94" s="560"/>
      <c r="E94" s="356" t="s">
        <v>206</v>
      </c>
      <c r="F94" s="357" t="e">
        <f>#REF!</f>
        <v>#REF!</v>
      </c>
      <c r="G94" s="266">
        <v>33500</v>
      </c>
      <c r="H94" s="266" t="e">
        <f>F94*G94</f>
        <v>#REF!</v>
      </c>
      <c r="I94" s="271">
        <v>0.1</v>
      </c>
      <c r="J94" s="266">
        <f t="shared" si="21"/>
        <v>36850</v>
      </c>
      <c r="K94" s="266" t="e">
        <f>F94*J94</f>
        <v>#REF!</v>
      </c>
      <c r="L94" s="564"/>
      <c r="M94" s="317"/>
      <c r="N94" s="264"/>
      <c r="Q94" s="264"/>
    </row>
    <row r="95" spans="1:17" s="263" customFormat="1" ht="20.100000000000001" customHeight="1" x14ac:dyDescent="0.25">
      <c r="A95" s="252"/>
      <c r="B95" s="583"/>
      <c r="C95" s="538" t="s">
        <v>466</v>
      </c>
      <c r="D95" s="560"/>
      <c r="E95" s="265" t="s">
        <v>206</v>
      </c>
      <c r="F95" s="257" t="e">
        <f>#REF!</f>
        <v>#REF!</v>
      </c>
      <c r="G95" s="266">
        <v>34500</v>
      </c>
      <c r="H95" s="266" t="e">
        <f>F95*G95</f>
        <v>#REF!</v>
      </c>
      <c r="I95" s="271">
        <v>0.1</v>
      </c>
      <c r="J95" s="266">
        <f>ROUNDUP(G95*(100%+I95),-1)</f>
        <v>37950</v>
      </c>
      <c r="K95" s="266" t="e">
        <f>F95*J95</f>
        <v>#REF!</v>
      </c>
      <c r="L95" s="564"/>
      <c r="M95" s="317"/>
      <c r="N95" s="264"/>
      <c r="Q95" s="264"/>
    </row>
    <row r="96" spans="1:17" s="263" customFormat="1" ht="20.100000000000001" customHeight="1" x14ac:dyDescent="0.25">
      <c r="A96" s="252"/>
      <c r="B96" s="583"/>
      <c r="C96" s="529" t="s">
        <v>271</v>
      </c>
      <c r="D96" s="530"/>
      <c r="E96" s="265"/>
      <c r="F96" s="257"/>
      <c r="G96" s="266"/>
      <c r="H96" s="266"/>
      <c r="I96" s="271"/>
      <c r="J96" s="266"/>
      <c r="K96" s="266"/>
      <c r="L96" s="326"/>
      <c r="M96" s="317"/>
      <c r="N96" s="264"/>
      <c r="Q96" s="264"/>
    </row>
    <row r="97" spans="1:17" s="263" customFormat="1" ht="20.100000000000001" customHeight="1" x14ac:dyDescent="0.25">
      <c r="A97" s="252" t="e">
        <f>IF(F97&gt;0, TRUE, FALSE)</f>
        <v>#REF!</v>
      </c>
      <c r="B97" s="583"/>
      <c r="C97" s="531" t="s">
        <v>267</v>
      </c>
      <c r="D97" s="532"/>
      <c r="E97" s="265" t="s">
        <v>206</v>
      </c>
      <c r="F97" s="257" t="e">
        <f>#REF!</f>
        <v>#REF!</v>
      </c>
      <c r="G97" s="266">
        <v>15000</v>
      </c>
      <c r="H97" s="266" t="e">
        <f>F97*G97</f>
        <v>#REF!</v>
      </c>
      <c r="I97" s="271">
        <v>0.39</v>
      </c>
      <c r="J97" s="266">
        <f t="shared" si="21"/>
        <v>20850</v>
      </c>
      <c r="K97" s="266" t="e">
        <f>F97*J97</f>
        <v>#REF!</v>
      </c>
      <c r="L97" s="563" t="s">
        <v>271</v>
      </c>
      <c r="M97" s="317"/>
      <c r="N97" s="264"/>
      <c r="Q97" s="264"/>
    </row>
    <row r="98" spans="1:17" s="209" customFormat="1" ht="20.100000000000001" customHeight="1" x14ac:dyDescent="0.25">
      <c r="A98" s="252" t="e">
        <f>IF(F98&gt;0, TRUE, FALSE)</f>
        <v>#REF!</v>
      </c>
      <c r="B98" s="583"/>
      <c r="C98" s="531" t="s">
        <v>269</v>
      </c>
      <c r="D98" s="532"/>
      <c r="E98" s="215" t="s">
        <v>206</v>
      </c>
      <c r="F98" s="257" t="e">
        <f>#REF!</f>
        <v>#REF!</v>
      </c>
      <c r="G98" s="217">
        <v>15000</v>
      </c>
      <c r="H98" s="217" t="e">
        <f>F98*G98</f>
        <v>#REF!</v>
      </c>
      <c r="I98" s="239">
        <v>0.39</v>
      </c>
      <c r="J98" s="217">
        <f t="shared" si="21"/>
        <v>20850</v>
      </c>
      <c r="K98" s="217" t="e">
        <f>F98*J98</f>
        <v>#REF!</v>
      </c>
      <c r="L98" s="564"/>
      <c r="N98" s="212"/>
      <c r="Q98" s="212"/>
    </row>
    <row r="99" spans="1:17" s="209" customFormat="1" ht="20.100000000000001" customHeight="1" x14ac:dyDescent="0.25">
      <c r="A99" s="252" t="e">
        <f>IF(F99&gt;0, TRUE, FALSE)</f>
        <v>#REF!</v>
      </c>
      <c r="B99" s="583"/>
      <c r="C99" s="538" t="s">
        <v>270</v>
      </c>
      <c r="D99" s="560"/>
      <c r="E99" s="215" t="s">
        <v>206</v>
      </c>
      <c r="F99" s="257" t="e">
        <f>#REF!</f>
        <v>#REF!</v>
      </c>
      <c r="G99" s="217">
        <v>33500</v>
      </c>
      <c r="H99" s="217" t="e">
        <f>F99*G99</f>
        <v>#REF!</v>
      </c>
      <c r="I99" s="239">
        <v>0.1</v>
      </c>
      <c r="J99" s="217">
        <f t="shared" si="21"/>
        <v>36850</v>
      </c>
      <c r="K99" s="217" t="e">
        <f>F99*J99</f>
        <v>#REF!</v>
      </c>
      <c r="L99" s="564"/>
      <c r="N99" s="212"/>
      <c r="Q99" s="212"/>
    </row>
    <row r="100" spans="1:17" s="263" customFormat="1" ht="20.100000000000001" customHeight="1" x14ac:dyDescent="0.25">
      <c r="A100" s="252"/>
      <c r="B100" s="583"/>
      <c r="C100" s="538" t="s">
        <v>466</v>
      </c>
      <c r="D100" s="560"/>
      <c r="E100" s="265" t="s">
        <v>206</v>
      </c>
      <c r="F100" s="257" t="e">
        <f>#REF!</f>
        <v>#REF!</v>
      </c>
      <c r="G100" s="266">
        <v>34500</v>
      </c>
      <c r="H100" s="266" t="e">
        <f>F100*G100</f>
        <v>#REF!</v>
      </c>
      <c r="I100" s="271">
        <v>0.1</v>
      </c>
      <c r="J100" s="266">
        <f>ROUNDUP(G100*(100%+I100),-1)</f>
        <v>37950</v>
      </c>
      <c r="K100" s="266" t="e">
        <f>F100*J100</f>
        <v>#REF!</v>
      </c>
      <c r="L100" s="564"/>
      <c r="N100" s="264"/>
      <c r="Q100" s="264"/>
    </row>
    <row r="101" spans="1:17" s="263" customFormat="1" ht="20.100000000000001" customHeight="1" x14ac:dyDescent="0.25">
      <c r="A101" s="252"/>
      <c r="B101" s="583"/>
      <c r="C101" s="529" t="s">
        <v>11</v>
      </c>
      <c r="D101" s="530"/>
      <c r="E101" s="265"/>
      <c r="F101" s="257"/>
      <c r="G101" s="266"/>
      <c r="H101" s="266"/>
      <c r="I101" s="271"/>
      <c r="J101" s="266"/>
      <c r="K101" s="266"/>
      <c r="L101" s="326"/>
      <c r="N101" s="264"/>
      <c r="Q101" s="264"/>
    </row>
    <row r="102" spans="1:17" s="209" customFormat="1" ht="20.100000000000001" customHeight="1" x14ac:dyDescent="0.25">
      <c r="A102" s="252" t="e">
        <f>IF(F102&gt;0, TRUE, FALSE)</f>
        <v>#REF!</v>
      </c>
      <c r="B102" s="583"/>
      <c r="C102" s="543" t="s">
        <v>269</v>
      </c>
      <c r="D102" s="544"/>
      <c r="E102" s="215" t="s">
        <v>206</v>
      </c>
      <c r="F102" s="257" t="e">
        <f>#REF!+#REF!</f>
        <v>#REF!</v>
      </c>
      <c r="G102" s="217">
        <v>15000</v>
      </c>
      <c r="H102" s="217" t="e">
        <f>F102*G102</f>
        <v>#REF!</v>
      </c>
      <c r="I102" s="239">
        <v>0.39</v>
      </c>
      <c r="J102" s="217">
        <f t="shared" ref="J102:J113" si="22">ROUNDUP(G102*(100%+I102),-1)</f>
        <v>20850</v>
      </c>
      <c r="K102" s="217" t="e">
        <f>F102*J102</f>
        <v>#REF!</v>
      </c>
      <c r="L102" s="563" t="s">
        <v>11</v>
      </c>
      <c r="N102" s="212"/>
      <c r="Q102" s="212"/>
    </row>
    <row r="103" spans="1:17" s="209" customFormat="1" ht="20.100000000000001" customHeight="1" x14ac:dyDescent="0.25">
      <c r="A103" s="252" t="e">
        <f>IF(F103&gt;0, TRUE, FALSE)</f>
        <v>#REF!</v>
      </c>
      <c r="B103" s="583"/>
      <c r="C103" s="558" t="s">
        <v>272</v>
      </c>
      <c r="D103" s="559"/>
      <c r="E103" s="215" t="s">
        <v>206</v>
      </c>
      <c r="F103" s="257" t="e">
        <f>#REF!</f>
        <v>#REF!</v>
      </c>
      <c r="G103" s="217">
        <v>33500</v>
      </c>
      <c r="H103" s="217" t="e">
        <f>F103*G103</f>
        <v>#REF!</v>
      </c>
      <c r="I103" s="239">
        <v>0.1</v>
      </c>
      <c r="J103" s="217">
        <f t="shared" si="22"/>
        <v>36850</v>
      </c>
      <c r="K103" s="217" t="e">
        <f>F103*J103</f>
        <v>#REF!</v>
      </c>
      <c r="L103" s="564"/>
      <c r="N103" s="212"/>
      <c r="Q103" s="212"/>
    </row>
    <row r="104" spans="1:17" s="209" customFormat="1" ht="20.100000000000001" customHeight="1" x14ac:dyDescent="0.25">
      <c r="A104" s="252" t="e">
        <f>IF(F104&gt;0, TRUE, FALSE)</f>
        <v>#REF!</v>
      </c>
      <c r="B104" s="583"/>
      <c r="C104" s="558" t="s">
        <v>467</v>
      </c>
      <c r="D104" s="559"/>
      <c r="E104" s="215" t="s">
        <v>206</v>
      </c>
      <c r="F104" s="257" t="e">
        <f>#REF!</f>
        <v>#REF!</v>
      </c>
      <c r="G104" s="217">
        <v>34500</v>
      </c>
      <c r="H104" s="217" t="e">
        <f>F104*G104</f>
        <v>#REF!</v>
      </c>
      <c r="I104" s="239">
        <v>0.1</v>
      </c>
      <c r="J104" s="217">
        <f t="shared" si="22"/>
        <v>37950</v>
      </c>
      <c r="K104" s="217" t="e">
        <f>F104*J104</f>
        <v>#REF!</v>
      </c>
      <c r="L104" s="564"/>
      <c r="N104" s="212"/>
      <c r="Q104" s="212"/>
    </row>
    <row r="105" spans="1:17" s="209" customFormat="1" ht="20.100000000000001" customHeight="1" x14ac:dyDescent="0.25">
      <c r="A105" s="252" t="e">
        <f>IF(F105&gt;0, TRUE, FALSE)</f>
        <v>#REF!</v>
      </c>
      <c r="B105" s="583"/>
      <c r="C105" s="538" t="s">
        <v>270</v>
      </c>
      <c r="D105" s="560"/>
      <c r="E105" s="215" t="s">
        <v>206</v>
      </c>
      <c r="F105" s="257" t="e">
        <f>#REF!</f>
        <v>#REF!</v>
      </c>
      <c r="G105" s="217">
        <v>33500</v>
      </c>
      <c r="H105" s="217" t="e">
        <f>F105*G105</f>
        <v>#REF!</v>
      </c>
      <c r="I105" s="239">
        <v>0.1</v>
      </c>
      <c r="J105" s="217">
        <f t="shared" si="22"/>
        <v>36850</v>
      </c>
      <c r="K105" s="217" t="e">
        <f>F105*J105</f>
        <v>#REF!</v>
      </c>
      <c r="L105" s="565"/>
      <c r="N105" s="212"/>
      <c r="Q105" s="212"/>
    </row>
    <row r="106" spans="1:17" s="263" customFormat="1" ht="20.100000000000001" customHeight="1" x14ac:dyDescent="0.25">
      <c r="A106" s="252"/>
      <c r="B106" s="583"/>
      <c r="C106" s="561" t="s">
        <v>408</v>
      </c>
      <c r="D106" s="562"/>
      <c r="E106" s="265"/>
      <c r="F106" s="257"/>
      <c r="G106" s="266"/>
      <c r="H106" s="266"/>
      <c r="I106" s="271"/>
      <c r="J106" s="266"/>
      <c r="K106" s="266"/>
      <c r="L106" s="326"/>
      <c r="N106" s="264"/>
      <c r="Q106" s="264"/>
    </row>
    <row r="107" spans="1:17" s="263" customFormat="1" ht="22.5" customHeight="1" x14ac:dyDescent="0.25">
      <c r="A107" s="252" t="e">
        <f>IF(F107&gt;0, TRUE, FALSE)</f>
        <v>#REF!</v>
      </c>
      <c r="B107" s="583"/>
      <c r="C107" s="538" t="s">
        <v>269</v>
      </c>
      <c r="D107" s="560"/>
      <c r="E107" s="265" t="s">
        <v>206</v>
      </c>
      <c r="F107" s="257" t="e">
        <f>#REF!</f>
        <v>#REF!</v>
      </c>
      <c r="G107" s="266">
        <v>15000</v>
      </c>
      <c r="H107" s="266" t="e">
        <f>F107*G107</f>
        <v>#REF!</v>
      </c>
      <c r="I107" s="271">
        <v>0.39</v>
      </c>
      <c r="J107" s="266">
        <f t="shared" si="22"/>
        <v>20850</v>
      </c>
      <c r="K107" s="266" t="e">
        <f>F107*J107</f>
        <v>#REF!</v>
      </c>
      <c r="L107" s="275"/>
      <c r="N107" s="264"/>
      <c r="Q107" s="264"/>
    </row>
    <row r="108" spans="1:17" s="263" customFormat="1" ht="22.5" customHeight="1" x14ac:dyDescent="0.25">
      <c r="A108" s="252"/>
      <c r="B108" s="583"/>
      <c r="C108" s="529" t="s">
        <v>403</v>
      </c>
      <c r="D108" s="530"/>
      <c r="E108" s="265"/>
      <c r="F108" s="257"/>
      <c r="G108" s="266"/>
      <c r="H108" s="266"/>
      <c r="I108" s="271"/>
      <c r="J108" s="266"/>
      <c r="K108" s="266"/>
      <c r="L108" s="326"/>
      <c r="N108" s="264"/>
      <c r="Q108" s="264"/>
    </row>
    <row r="109" spans="1:17" s="263" customFormat="1" ht="20.100000000000001" customHeight="1" x14ac:dyDescent="0.25">
      <c r="A109" s="252" t="e">
        <f>IF(F109&gt;0, TRUE, FALSE)</f>
        <v>#REF!</v>
      </c>
      <c r="B109" s="583"/>
      <c r="C109" s="543" t="s">
        <v>269</v>
      </c>
      <c r="D109" s="544"/>
      <c r="E109" s="265" t="s">
        <v>206</v>
      </c>
      <c r="F109" s="257" t="e">
        <f>#REF!</f>
        <v>#REF!</v>
      </c>
      <c r="G109" s="266">
        <v>15000</v>
      </c>
      <c r="H109" s="266" t="e">
        <f>F109*G109</f>
        <v>#REF!</v>
      </c>
      <c r="I109" s="271">
        <v>0.39</v>
      </c>
      <c r="J109" s="266">
        <f t="shared" si="22"/>
        <v>20850</v>
      </c>
      <c r="K109" s="266" t="e">
        <f>F109*J109</f>
        <v>#REF!</v>
      </c>
      <c r="L109" s="563" t="s">
        <v>403</v>
      </c>
      <c r="N109" s="264"/>
      <c r="Q109" s="264"/>
    </row>
    <row r="110" spans="1:17" s="263" customFormat="1" ht="20.100000000000001" customHeight="1" x14ac:dyDescent="0.25">
      <c r="A110" s="252" t="e">
        <f>IF(F110&gt;0, TRUE, FALSE)</f>
        <v>#REF!</v>
      </c>
      <c r="B110" s="583"/>
      <c r="C110" s="538" t="s">
        <v>270</v>
      </c>
      <c r="D110" s="560"/>
      <c r="E110" s="265" t="s">
        <v>206</v>
      </c>
      <c r="F110" s="257" t="e">
        <f>#REF!</f>
        <v>#REF!</v>
      </c>
      <c r="G110" s="266">
        <v>33500</v>
      </c>
      <c r="H110" s="266" t="e">
        <f>F110*G110</f>
        <v>#REF!</v>
      </c>
      <c r="I110" s="271">
        <v>0.1</v>
      </c>
      <c r="J110" s="266">
        <f t="shared" si="22"/>
        <v>36850</v>
      </c>
      <c r="K110" s="266" t="e">
        <f>F110*J110</f>
        <v>#REF!</v>
      </c>
      <c r="L110" s="565"/>
      <c r="N110" s="264"/>
      <c r="Q110" s="264"/>
    </row>
    <row r="111" spans="1:17" s="263" customFormat="1" ht="20.100000000000001" customHeight="1" x14ac:dyDescent="0.25">
      <c r="A111" s="252"/>
      <c r="B111" s="583"/>
      <c r="C111" s="538" t="s">
        <v>466</v>
      </c>
      <c r="D111" s="560"/>
      <c r="E111" s="265" t="s">
        <v>206</v>
      </c>
      <c r="F111" s="257" t="e">
        <f>#REF!</f>
        <v>#REF!</v>
      </c>
      <c r="G111" s="266">
        <v>33500</v>
      </c>
      <c r="H111" s="266" t="e">
        <f>F111*G111</f>
        <v>#REF!</v>
      </c>
      <c r="I111" s="271">
        <v>0.1</v>
      </c>
      <c r="J111" s="266">
        <f>ROUNDUP(G111*(100%+I111),-1)</f>
        <v>36850</v>
      </c>
      <c r="K111" s="266" t="e">
        <f>F111*J111</f>
        <v>#REF!</v>
      </c>
      <c r="L111" s="352"/>
      <c r="N111" s="264"/>
      <c r="Q111" s="264"/>
    </row>
    <row r="112" spans="1:17" s="263" customFormat="1" ht="20.100000000000001" customHeight="1" x14ac:dyDescent="0.25">
      <c r="A112" s="252"/>
      <c r="B112" s="583"/>
      <c r="C112" s="529" t="s">
        <v>274</v>
      </c>
      <c r="D112" s="530"/>
      <c r="E112" s="265"/>
      <c r="F112" s="257"/>
      <c r="G112" s="266"/>
      <c r="H112" s="266"/>
      <c r="I112" s="271"/>
      <c r="J112" s="266"/>
      <c r="K112" s="266"/>
      <c r="L112" s="325"/>
      <c r="N112" s="264"/>
      <c r="Q112" s="264"/>
    </row>
    <row r="113" spans="1:17" s="209" customFormat="1" ht="20.100000000000001" customHeight="1" x14ac:dyDescent="0.25">
      <c r="A113" s="252" t="e">
        <f>IF(F113&gt;0, TRUE, FALSE)</f>
        <v>#REF!</v>
      </c>
      <c r="B113" s="583"/>
      <c r="C113" s="523" t="s">
        <v>273</v>
      </c>
      <c r="D113" s="524"/>
      <c r="E113" s="215" t="s">
        <v>206</v>
      </c>
      <c r="F113" s="257" t="e">
        <f>#REF!</f>
        <v>#REF!</v>
      </c>
      <c r="G113" s="217">
        <v>15000</v>
      </c>
      <c r="H113" s="217" t="e">
        <f>F113*G113</f>
        <v>#REF!</v>
      </c>
      <c r="I113" s="239">
        <v>0.5</v>
      </c>
      <c r="J113" s="217">
        <f t="shared" si="22"/>
        <v>22500</v>
      </c>
      <c r="K113" s="217" t="e">
        <f>F113*J113</f>
        <v>#REF!</v>
      </c>
      <c r="L113" s="218" t="s">
        <v>274</v>
      </c>
      <c r="N113" s="212"/>
      <c r="Q113" s="212"/>
    </row>
    <row r="114" spans="1:17" s="263" customFormat="1" ht="20.100000000000001" customHeight="1" x14ac:dyDescent="0.25">
      <c r="A114" s="252"/>
      <c r="B114" s="583"/>
      <c r="C114" s="529" t="s">
        <v>276</v>
      </c>
      <c r="D114" s="530"/>
      <c r="E114" s="265"/>
      <c r="F114" s="257"/>
      <c r="G114" s="266"/>
      <c r="H114" s="266"/>
      <c r="I114" s="271"/>
      <c r="J114" s="266"/>
      <c r="K114" s="266"/>
      <c r="L114" s="324"/>
      <c r="N114" s="264"/>
      <c r="Q114" s="264"/>
    </row>
    <row r="115" spans="1:17" s="209" customFormat="1" ht="20.100000000000001" customHeight="1" x14ac:dyDescent="0.25">
      <c r="A115" s="252" t="e">
        <f>IF(F115&gt;0, TRUE, FALSE)</f>
        <v>#REF!</v>
      </c>
      <c r="B115" s="583"/>
      <c r="C115" s="589" t="s">
        <v>275</v>
      </c>
      <c r="D115" s="590"/>
      <c r="E115" s="224" t="s">
        <v>24</v>
      </c>
      <c r="F115" s="255" t="e">
        <f>#REF!</f>
        <v>#REF!</v>
      </c>
      <c r="G115" s="221">
        <v>38</v>
      </c>
      <c r="H115" s="217" t="e">
        <f>F115*G115</f>
        <v>#REF!</v>
      </c>
      <c r="I115" s="220">
        <v>1</v>
      </c>
      <c r="J115" s="217">
        <f>ROUNDUP(G115*(100%+I115),0)</f>
        <v>76</v>
      </c>
      <c r="K115" s="217" t="e">
        <f>F115*J115</f>
        <v>#REF!</v>
      </c>
      <c r="L115" s="563" t="s">
        <v>276</v>
      </c>
      <c r="N115" s="212"/>
      <c r="Q115" s="212"/>
    </row>
    <row r="116" spans="1:17" s="209" customFormat="1" ht="20.100000000000001" customHeight="1" x14ac:dyDescent="0.25">
      <c r="A116" s="252" t="e">
        <f>IF(F116&gt;0, TRUE, FALSE)</f>
        <v>#REF!</v>
      </c>
      <c r="B116" s="583"/>
      <c r="C116" s="558" t="s">
        <v>277</v>
      </c>
      <c r="D116" s="559"/>
      <c r="E116" s="215" t="s">
        <v>206</v>
      </c>
      <c r="F116" s="257" t="e">
        <f>#REF!</f>
        <v>#REF!</v>
      </c>
      <c r="G116" s="217">
        <v>15000</v>
      </c>
      <c r="H116" s="217" t="e">
        <f>F116*G116</f>
        <v>#REF!</v>
      </c>
      <c r="I116" s="239">
        <v>0.5</v>
      </c>
      <c r="J116" s="217">
        <f t="shared" ref="J116:J125" si="23">ROUNDUP(G116*(100%+I116),-1)</f>
        <v>22500</v>
      </c>
      <c r="K116" s="217" t="e">
        <f>F116*J116</f>
        <v>#REF!</v>
      </c>
      <c r="L116" s="564"/>
      <c r="N116" s="212"/>
      <c r="Q116" s="212"/>
    </row>
    <row r="117" spans="1:17" s="209" customFormat="1" ht="20.100000000000001" customHeight="1" x14ac:dyDescent="0.25">
      <c r="A117" s="252" t="e">
        <f>IF(F117&gt;0, TRUE, FALSE)</f>
        <v>#REF!</v>
      </c>
      <c r="B117" s="583"/>
      <c r="C117" s="558" t="s">
        <v>267</v>
      </c>
      <c r="D117" s="559"/>
      <c r="E117" s="215" t="s">
        <v>206</v>
      </c>
      <c r="F117" s="257" t="e">
        <f>#REF!</f>
        <v>#REF!</v>
      </c>
      <c r="G117" s="217">
        <v>15000</v>
      </c>
      <c r="H117" s="217" t="e">
        <f>F117*G117</f>
        <v>#REF!</v>
      </c>
      <c r="I117" s="239">
        <v>0.39</v>
      </c>
      <c r="J117" s="217">
        <f t="shared" si="23"/>
        <v>20850</v>
      </c>
      <c r="K117" s="217" t="e">
        <f>F117*J117</f>
        <v>#REF!</v>
      </c>
      <c r="L117" s="564"/>
      <c r="N117" s="212"/>
      <c r="Q117" s="212"/>
    </row>
    <row r="118" spans="1:17" s="209" customFormat="1" ht="20.100000000000001" customHeight="1" x14ac:dyDescent="0.25">
      <c r="A118" s="252" t="e">
        <f>IF(F118&gt;0, TRUE, FALSE)</f>
        <v>#REF!</v>
      </c>
      <c r="B118" s="583"/>
      <c r="C118" s="538" t="s">
        <v>269</v>
      </c>
      <c r="D118" s="560"/>
      <c r="E118" s="215" t="s">
        <v>206</v>
      </c>
      <c r="F118" s="257" t="e">
        <f>#REF!</f>
        <v>#REF!</v>
      </c>
      <c r="G118" s="217">
        <v>15000</v>
      </c>
      <c r="H118" s="217" t="e">
        <f>F118*G118</f>
        <v>#REF!</v>
      </c>
      <c r="I118" s="239">
        <v>0.39</v>
      </c>
      <c r="J118" s="217">
        <f t="shared" si="23"/>
        <v>20850</v>
      </c>
      <c r="K118" s="217" t="e">
        <f>F118*J118</f>
        <v>#REF!</v>
      </c>
      <c r="L118" s="565"/>
      <c r="N118" s="212"/>
      <c r="Q118" s="212"/>
    </row>
    <row r="119" spans="1:17" s="263" customFormat="1" ht="20.100000000000001" customHeight="1" x14ac:dyDescent="0.25">
      <c r="A119" s="252"/>
      <c r="B119" s="583"/>
      <c r="C119" s="561" t="s">
        <v>405</v>
      </c>
      <c r="D119" s="562"/>
      <c r="E119" s="265"/>
      <c r="F119" s="257"/>
      <c r="G119" s="266"/>
      <c r="H119" s="266"/>
      <c r="I119" s="271"/>
      <c r="J119" s="266"/>
      <c r="K119" s="266"/>
      <c r="L119" s="325"/>
      <c r="N119" s="264"/>
      <c r="Q119" s="264"/>
    </row>
    <row r="120" spans="1:17" s="263" customFormat="1" ht="20.100000000000001" customHeight="1" x14ac:dyDescent="0.25">
      <c r="A120" s="252" t="e">
        <f>IF(F120&gt;0, TRUE, FALSE)</f>
        <v>#REF!</v>
      </c>
      <c r="B120" s="583"/>
      <c r="C120" s="543" t="s">
        <v>402</v>
      </c>
      <c r="D120" s="544"/>
      <c r="E120" s="265" t="s">
        <v>206</v>
      </c>
      <c r="F120" s="257" t="e">
        <f>#REF!</f>
        <v>#REF!</v>
      </c>
      <c r="G120" s="266">
        <v>15000</v>
      </c>
      <c r="H120" s="266" t="e">
        <f>F120*G120</f>
        <v>#REF!</v>
      </c>
      <c r="I120" s="271">
        <v>0.39</v>
      </c>
      <c r="J120" s="266">
        <f>ROUNDUP(G120*(100%+I120),-1)</f>
        <v>20850</v>
      </c>
      <c r="K120" s="266" t="e">
        <f>F120*J120</f>
        <v>#REF!</v>
      </c>
      <c r="L120" s="325"/>
      <c r="N120" s="264"/>
      <c r="Q120" s="264"/>
    </row>
    <row r="121" spans="1:17" s="263" customFormat="1" ht="20.100000000000001" customHeight="1" x14ac:dyDescent="0.25">
      <c r="A121" s="252" t="e">
        <f>IF(F121&gt;0, TRUE, FALSE)</f>
        <v>#REF!</v>
      </c>
      <c r="B121" s="583"/>
      <c r="C121" s="558" t="s">
        <v>267</v>
      </c>
      <c r="D121" s="559"/>
      <c r="E121" s="265" t="s">
        <v>206</v>
      </c>
      <c r="F121" s="257" t="e">
        <f>#REF!</f>
        <v>#REF!</v>
      </c>
      <c r="G121" s="266">
        <v>15000</v>
      </c>
      <c r="H121" s="266" t="e">
        <f>F121*G121</f>
        <v>#REF!</v>
      </c>
      <c r="I121" s="271">
        <v>0.39</v>
      </c>
      <c r="J121" s="266">
        <f t="shared" si="23"/>
        <v>20850</v>
      </c>
      <c r="K121" s="266" t="e">
        <f>F121*J121</f>
        <v>#REF!</v>
      </c>
      <c r="L121" s="273"/>
      <c r="N121" s="264"/>
      <c r="Q121" s="264"/>
    </row>
    <row r="122" spans="1:17" s="263" customFormat="1" ht="19.5" customHeight="1" x14ac:dyDescent="0.25">
      <c r="A122" s="252" t="e">
        <f>IF(F122&gt;0, TRUE, FALSE)</f>
        <v>#REF!</v>
      </c>
      <c r="B122" s="583"/>
      <c r="C122" s="538" t="s">
        <v>269</v>
      </c>
      <c r="D122" s="560"/>
      <c r="E122" s="265" t="s">
        <v>206</v>
      </c>
      <c r="F122" s="257" t="e">
        <f>#REF!</f>
        <v>#REF!</v>
      </c>
      <c r="G122" s="266">
        <v>15000</v>
      </c>
      <c r="H122" s="266" t="e">
        <f>F122*G122</f>
        <v>#REF!</v>
      </c>
      <c r="I122" s="271">
        <v>0.39</v>
      </c>
      <c r="J122" s="266">
        <f t="shared" si="23"/>
        <v>20850</v>
      </c>
      <c r="K122" s="266" t="e">
        <f>F122*J122</f>
        <v>#REF!</v>
      </c>
      <c r="L122" s="273"/>
      <c r="N122" s="264"/>
      <c r="Q122" s="264"/>
    </row>
    <row r="123" spans="1:17" s="263" customFormat="1" ht="19.5" customHeight="1" x14ac:dyDescent="0.25">
      <c r="A123" s="252"/>
      <c r="B123" s="583"/>
      <c r="C123" s="529" t="s">
        <v>404</v>
      </c>
      <c r="D123" s="530"/>
      <c r="E123" s="265"/>
      <c r="F123" s="257"/>
      <c r="G123" s="266"/>
      <c r="H123" s="266"/>
      <c r="I123" s="271"/>
      <c r="J123" s="266"/>
      <c r="K123" s="266"/>
      <c r="L123" s="325"/>
      <c r="N123" s="264"/>
      <c r="Q123" s="264"/>
    </row>
    <row r="124" spans="1:17" s="263" customFormat="1" ht="19.5" customHeight="1" x14ac:dyDescent="0.25">
      <c r="A124" s="252" t="e">
        <f t="shared" ref="A124:A134" si="24">IF(F124&gt;0, TRUE, FALSE)</f>
        <v>#REF!</v>
      </c>
      <c r="B124" s="583"/>
      <c r="C124" s="558" t="s">
        <v>267</v>
      </c>
      <c r="D124" s="559"/>
      <c r="E124" s="265" t="s">
        <v>206</v>
      </c>
      <c r="F124" s="257" t="e">
        <f>#REF!</f>
        <v>#REF!</v>
      </c>
      <c r="G124" s="266">
        <v>15000</v>
      </c>
      <c r="H124" s="266" t="e">
        <f>F124*G124</f>
        <v>#REF!</v>
      </c>
      <c r="I124" s="271">
        <v>0.39</v>
      </c>
      <c r="J124" s="266">
        <f t="shared" si="23"/>
        <v>20850</v>
      </c>
      <c r="K124" s="266" t="e">
        <f>F124*J124</f>
        <v>#REF!</v>
      </c>
      <c r="L124" s="273"/>
      <c r="N124" s="264"/>
      <c r="Q124" s="264"/>
    </row>
    <row r="125" spans="1:17" s="263" customFormat="1" ht="19.5" customHeight="1" x14ac:dyDescent="0.25">
      <c r="A125" s="252" t="e">
        <f t="shared" si="24"/>
        <v>#REF!</v>
      </c>
      <c r="B125" s="583"/>
      <c r="C125" s="538" t="s">
        <v>269</v>
      </c>
      <c r="D125" s="560"/>
      <c r="E125" s="265" t="s">
        <v>206</v>
      </c>
      <c r="F125" s="257" t="e">
        <f>#REF!</f>
        <v>#REF!</v>
      </c>
      <c r="G125" s="266">
        <v>15000</v>
      </c>
      <c r="H125" s="266" t="e">
        <f>F125*G125</f>
        <v>#REF!</v>
      </c>
      <c r="I125" s="271">
        <v>0.39</v>
      </c>
      <c r="J125" s="266">
        <f t="shared" si="23"/>
        <v>20850</v>
      </c>
      <c r="K125" s="266" t="e">
        <f>F125*J125</f>
        <v>#REF!</v>
      </c>
      <c r="L125" s="273"/>
      <c r="N125" s="264"/>
      <c r="Q125" s="264"/>
    </row>
    <row r="126" spans="1:17" s="263" customFormat="1" ht="19.5" customHeight="1" x14ac:dyDescent="0.25">
      <c r="A126" s="252" t="e">
        <f t="shared" si="24"/>
        <v>#REF!</v>
      </c>
      <c r="B126" s="583"/>
      <c r="C126" s="523" t="s">
        <v>323</v>
      </c>
      <c r="D126" s="524"/>
      <c r="E126" s="265" t="s">
        <v>217</v>
      </c>
      <c r="F126" s="255" t="e">
        <f>#REF!</f>
        <v>#REF!</v>
      </c>
      <c r="G126" s="266">
        <v>8350</v>
      </c>
      <c r="H126" s="266" t="e">
        <f t="shared" ref="H126:H134" si="25">F126*G126</f>
        <v>#REF!</v>
      </c>
      <c r="I126" s="268">
        <v>0.18</v>
      </c>
      <c r="J126" s="266">
        <f>ROUNDUP(G126*(100%+I126),0)</f>
        <v>9853</v>
      </c>
      <c r="K126" s="266" t="e">
        <f t="shared" ref="K126:K133" si="26">F126*J126</f>
        <v>#REF!</v>
      </c>
      <c r="L126" s="563" t="s">
        <v>441</v>
      </c>
      <c r="N126" s="264"/>
      <c r="Q126" s="264"/>
    </row>
    <row r="127" spans="1:17" s="263" customFormat="1" ht="19.5" customHeight="1" x14ac:dyDescent="0.25">
      <c r="A127" s="252" t="e">
        <f t="shared" si="24"/>
        <v>#REF!</v>
      </c>
      <c r="B127" s="583"/>
      <c r="C127" s="523" t="s">
        <v>324</v>
      </c>
      <c r="D127" s="524"/>
      <c r="E127" s="265" t="s">
        <v>206</v>
      </c>
      <c r="F127" s="255" t="e">
        <f>#REF!+#REF!+#REF!</f>
        <v>#REF!</v>
      </c>
      <c r="G127" s="266">
        <v>1850</v>
      </c>
      <c r="H127" s="266" t="e">
        <f t="shared" si="25"/>
        <v>#REF!</v>
      </c>
      <c r="I127" s="268">
        <v>0.22</v>
      </c>
      <c r="J127" s="266">
        <f>ROUNDUP(G127*(100%+I127),-1)</f>
        <v>2260</v>
      </c>
      <c r="K127" s="266" t="e">
        <f t="shared" si="26"/>
        <v>#REF!</v>
      </c>
      <c r="L127" s="564"/>
      <c r="N127" s="264"/>
      <c r="Q127" s="264"/>
    </row>
    <row r="128" spans="1:17" s="263" customFormat="1" ht="19.5" customHeight="1" x14ac:dyDescent="0.25">
      <c r="A128" s="252" t="e">
        <f t="shared" si="24"/>
        <v>#REF!</v>
      </c>
      <c r="B128" s="583"/>
      <c r="C128" s="523" t="s">
        <v>325</v>
      </c>
      <c r="D128" s="524"/>
      <c r="E128" s="265" t="s">
        <v>217</v>
      </c>
      <c r="F128" s="255" t="e">
        <f>#REF!</f>
        <v>#REF!</v>
      </c>
      <c r="G128" s="266">
        <v>5700</v>
      </c>
      <c r="H128" s="266" t="e">
        <f t="shared" si="25"/>
        <v>#REF!</v>
      </c>
      <c r="I128" s="268">
        <v>0.33</v>
      </c>
      <c r="J128" s="266">
        <f>ROUNDUP(G128*(100%+I128),-2)</f>
        <v>7600</v>
      </c>
      <c r="K128" s="266" t="e">
        <f t="shared" si="26"/>
        <v>#REF!</v>
      </c>
      <c r="L128" s="565"/>
      <c r="N128" s="264"/>
      <c r="Q128" s="264"/>
    </row>
    <row r="129" spans="1:17" s="263" customFormat="1" ht="19.5" customHeight="1" x14ac:dyDescent="0.25">
      <c r="A129" s="252"/>
      <c r="B129" s="583"/>
      <c r="C129" s="523" t="s">
        <v>475</v>
      </c>
      <c r="D129" s="524"/>
      <c r="E129" s="265" t="s">
        <v>25</v>
      </c>
      <c r="F129" s="255" t="e">
        <f>#REF!</f>
        <v>#REF!</v>
      </c>
      <c r="G129" s="266">
        <v>19000</v>
      </c>
      <c r="H129" s="266" t="e">
        <f t="shared" si="25"/>
        <v>#REF!</v>
      </c>
      <c r="I129" s="268">
        <v>0.1</v>
      </c>
      <c r="J129" s="266">
        <f>ROUNDUP(G129*(100%+I129),-2)</f>
        <v>20900</v>
      </c>
      <c r="K129" s="266" t="e">
        <f t="shared" si="26"/>
        <v>#REF!</v>
      </c>
      <c r="L129" s="355" t="s">
        <v>473</v>
      </c>
      <c r="N129" s="264"/>
      <c r="Q129" s="264"/>
    </row>
    <row r="130" spans="1:17" s="263" customFormat="1" ht="19.5" customHeight="1" x14ac:dyDescent="0.25">
      <c r="A130" s="252" t="e">
        <f t="shared" si="24"/>
        <v>#REF!</v>
      </c>
      <c r="B130" s="583"/>
      <c r="C130" s="335" t="s">
        <v>15</v>
      </c>
      <c r="D130" s="331" t="e">
        <f>#REF!</f>
        <v>#REF!</v>
      </c>
      <c r="E130" s="265" t="s">
        <v>206</v>
      </c>
      <c r="F130" s="255" t="e">
        <f>#REF!</f>
        <v>#REF!</v>
      </c>
      <c r="G130" s="266">
        <v>31000</v>
      </c>
      <c r="H130" s="266" t="e">
        <f>F130*G130</f>
        <v>#REF!</v>
      </c>
      <c r="I130" s="268">
        <v>0.4</v>
      </c>
      <c r="J130" s="266">
        <f>ROUNDUP(G130*(100%+I130),-1)</f>
        <v>43400</v>
      </c>
      <c r="K130" s="266" t="e">
        <f>F130*J130</f>
        <v>#REF!</v>
      </c>
      <c r="L130" s="332"/>
      <c r="N130" s="264"/>
      <c r="Q130" s="264"/>
    </row>
    <row r="131" spans="1:17" s="263" customFormat="1" ht="19.5" customHeight="1" x14ac:dyDescent="0.25">
      <c r="A131" s="252" t="e">
        <f t="shared" si="24"/>
        <v>#REF!</v>
      </c>
      <c r="B131" s="583"/>
      <c r="C131" s="523" t="s">
        <v>438</v>
      </c>
      <c r="D131" s="524"/>
      <c r="E131" s="265" t="s">
        <v>206</v>
      </c>
      <c r="F131" s="255" t="e">
        <f>#REF!</f>
        <v>#REF!</v>
      </c>
      <c r="G131" s="266">
        <v>1850</v>
      </c>
      <c r="H131" s="266" t="e">
        <f t="shared" si="25"/>
        <v>#REF!</v>
      </c>
      <c r="I131" s="268">
        <v>0.22</v>
      </c>
      <c r="J131" s="266">
        <f>ROUNDUP(G131*(100%+I131),-1)</f>
        <v>2260</v>
      </c>
      <c r="K131" s="266" t="e">
        <f t="shared" si="26"/>
        <v>#REF!</v>
      </c>
      <c r="L131" s="322"/>
      <c r="N131" s="264"/>
      <c r="Q131" s="264"/>
    </row>
    <row r="132" spans="1:17" s="209" customFormat="1" ht="20.100000000000001" customHeight="1" x14ac:dyDescent="0.25">
      <c r="A132" s="252" t="e">
        <f t="shared" si="24"/>
        <v>#REF!</v>
      </c>
      <c r="B132" s="583"/>
      <c r="C132" s="523" t="s">
        <v>278</v>
      </c>
      <c r="D132" s="524"/>
      <c r="E132" s="215" t="s">
        <v>206</v>
      </c>
      <c r="F132" s="269" t="e">
        <f>F87+F88+F113+F109+F110+F111+F107+F105+F104+F103+F102+F98+F99+F100+F97+F93+F95+F92+F90+SUM(F116:F125)</f>
        <v>#REF!</v>
      </c>
      <c r="G132" s="217">
        <v>500</v>
      </c>
      <c r="H132" s="217" t="e">
        <f t="shared" si="25"/>
        <v>#REF!</v>
      </c>
      <c r="I132" s="239">
        <v>1</v>
      </c>
      <c r="J132" s="217">
        <f>ROUNDUP(G132*(100%+I132),-1)</f>
        <v>1000</v>
      </c>
      <c r="K132" s="217" t="e">
        <f t="shared" si="26"/>
        <v>#REF!</v>
      </c>
      <c r="L132" s="218"/>
      <c r="N132" s="212"/>
      <c r="Q132" s="212"/>
    </row>
    <row r="133" spans="1:17" s="209" customFormat="1" ht="20.100000000000001" customHeight="1" x14ac:dyDescent="0.25">
      <c r="A133" s="252" t="e">
        <f t="shared" si="24"/>
        <v>#REF!</v>
      </c>
      <c r="B133" s="583"/>
      <c r="C133" s="523" t="s">
        <v>279</v>
      </c>
      <c r="D133" s="524"/>
      <c r="E133" s="265" t="s">
        <v>193</v>
      </c>
      <c r="F133" s="279" t="e">
        <f>ROUNDUP(SQRT(F7)*4*6,1)</f>
        <v>#REF!</v>
      </c>
      <c r="G133" s="217">
        <v>250</v>
      </c>
      <c r="H133" s="217" t="e">
        <f t="shared" si="25"/>
        <v>#REF!</v>
      </c>
      <c r="I133" s="220">
        <v>0.2</v>
      </c>
      <c r="J133" s="217">
        <f>ROUNDUP(G133*(100%+I133),-1)</f>
        <v>300</v>
      </c>
      <c r="K133" s="217" t="e">
        <f t="shared" si="26"/>
        <v>#REF!</v>
      </c>
      <c r="L133" s="218"/>
      <c r="N133" s="212"/>
      <c r="Q133" s="212"/>
    </row>
    <row r="134" spans="1:17" s="209" customFormat="1" ht="20.100000000000001" customHeight="1" x14ac:dyDescent="0.25">
      <c r="A134" s="252" t="e">
        <f t="shared" si="24"/>
        <v>#REF!</v>
      </c>
      <c r="B134" s="583"/>
      <c r="C134" s="523" t="s">
        <v>230</v>
      </c>
      <c r="D134" s="524"/>
      <c r="E134" s="215" t="s">
        <v>221</v>
      </c>
      <c r="F134" s="278" t="e">
        <f>F56/8</f>
        <v>#REF!</v>
      </c>
      <c r="G134" s="217">
        <v>10000</v>
      </c>
      <c r="H134" s="217" t="e">
        <f t="shared" si="25"/>
        <v>#REF!</v>
      </c>
      <c r="I134" s="239">
        <v>0.2</v>
      </c>
      <c r="J134" s="217">
        <f>ROUNDUP(G134*(100%+I134),-1)</f>
        <v>12000</v>
      </c>
      <c r="K134" s="217" t="e">
        <f>ROUNDUP(H134*(100%+I134),-1)</f>
        <v>#REF!</v>
      </c>
      <c r="L134" s="218"/>
      <c r="N134" s="212"/>
      <c r="Q134" s="212"/>
    </row>
    <row r="135" spans="1:17" s="263" customFormat="1" ht="20.100000000000001" customHeight="1" x14ac:dyDescent="0.25">
      <c r="A135" s="208" t="e">
        <f>OR(A136:A146)</f>
        <v>#REF!</v>
      </c>
      <c r="B135" s="583"/>
      <c r="C135" s="551" t="s">
        <v>471</v>
      </c>
      <c r="D135" s="552"/>
      <c r="E135" s="265"/>
      <c r="F135" s="266"/>
      <c r="G135" s="266"/>
      <c r="H135" s="353" t="e">
        <f>SUM(H74:H134)</f>
        <v>#REF!</v>
      </c>
      <c r="I135" s="266"/>
      <c r="J135" s="266"/>
      <c r="K135" s="353" t="e">
        <f>SUM(K74:K134)</f>
        <v>#REF!</v>
      </c>
      <c r="L135" s="267"/>
      <c r="N135" s="264"/>
      <c r="Q135" s="264"/>
    </row>
    <row r="136" spans="1:17" s="209" customFormat="1" ht="20.100000000000001" customHeight="1" x14ac:dyDescent="0.25">
      <c r="A136" s="252"/>
      <c r="B136" s="583"/>
      <c r="C136" s="535" t="s">
        <v>231</v>
      </c>
      <c r="D136" s="536"/>
      <c r="E136" s="215"/>
      <c r="F136" s="217"/>
      <c r="G136" s="217"/>
      <c r="H136" s="217"/>
      <c r="I136" s="217"/>
      <c r="J136" s="217"/>
      <c r="K136" s="217"/>
      <c r="L136" s="218"/>
      <c r="N136" s="212"/>
      <c r="Q136" s="212"/>
    </row>
    <row r="137" spans="1:17" s="209" customFormat="1" ht="20.100000000000001" customHeight="1" x14ac:dyDescent="0.25">
      <c r="A137" s="252" t="e">
        <f>IF(F137&gt;0, TRUE, FALSE)</f>
        <v>#REF!</v>
      </c>
      <c r="B137" s="583"/>
      <c r="C137" s="523" t="s">
        <v>280</v>
      </c>
      <c r="D137" s="524"/>
      <c r="E137" s="215" t="s">
        <v>233</v>
      </c>
      <c r="F137" s="255" t="e">
        <f>ROUNDUP((F77+F78+F79+F80+F87+F93+F99+F103+F104+F105+F110)/20,1)+1</f>
        <v>#REF!</v>
      </c>
      <c r="G137" s="217">
        <v>16000</v>
      </c>
      <c r="H137" s="217" t="e">
        <f>F137*G137</f>
        <v>#REF!</v>
      </c>
      <c r="I137" s="220">
        <v>0.2</v>
      </c>
      <c r="J137" s="217">
        <f>ROUNDUP(G137*(100%+I137),-2)</f>
        <v>19200</v>
      </c>
      <c r="K137" s="217" t="e">
        <f>F137*J137</f>
        <v>#REF!</v>
      </c>
      <c r="L137" s="218"/>
      <c r="N137" s="212"/>
      <c r="Q137" s="212"/>
    </row>
    <row r="138" spans="1:17" s="209" customFormat="1" ht="20.100000000000001" customHeight="1" x14ac:dyDescent="0.25">
      <c r="A138" s="252" t="b">
        <f>IF(F138&gt;0, TRUE, FALSE)</f>
        <v>1</v>
      </c>
      <c r="B138" s="583"/>
      <c r="C138" s="523" t="s">
        <v>246</v>
      </c>
      <c r="D138" s="524"/>
      <c r="E138" s="215" t="s">
        <v>247</v>
      </c>
      <c r="F138" s="231">
        <v>0.08</v>
      </c>
      <c r="G138" s="217"/>
      <c r="H138" s="217" t="e">
        <f>ROUNDUP(SUM(K53:K71)*F138,0)</f>
        <v>#REF!</v>
      </c>
      <c r="I138" s="217"/>
      <c r="J138" s="217"/>
      <c r="K138" s="217" t="e">
        <f>H138</f>
        <v>#REF!</v>
      </c>
      <c r="L138" s="218"/>
      <c r="N138" s="212"/>
      <c r="Q138" s="212"/>
    </row>
    <row r="139" spans="1:17" s="209" customFormat="1" ht="20.100000000000001" customHeight="1" x14ac:dyDescent="0.25">
      <c r="A139" s="252" t="b">
        <f>IF(F139&gt;0, TRUE, FALSE)</f>
        <v>1</v>
      </c>
      <c r="B139" s="583"/>
      <c r="C139" s="523" t="s">
        <v>248</v>
      </c>
      <c r="D139" s="524"/>
      <c r="E139" s="215" t="s">
        <v>247</v>
      </c>
      <c r="F139" s="231">
        <v>0.04</v>
      </c>
      <c r="G139" s="217"/>
      <c r="H139" s="217" t="e">
        <f>ROUNDUP(SUM(K74:K134)*F139,0)</f>
        <v>#REF!</v>
      </c>
      <c r="I139" s="217"/>
      <c r="J139" s="217"/>
      <c r="K139" s="217" t="e">
        <f>H139</f>
        <v>#REF!</v>
      </c>
      <c r="L139" s="218"/>
      <c r="N139" s="212"/>
      <c r="Q139" s="212"/>
    </row>
    <row r="140" spans="1:17" s="209" customFormat="1" ht="20.100000000000001" customHeight="1" x14ac:dyDescent="0.25">
      <c r="A140" s="252"/>
      <c r="B140" s="583"/>
      <c r="C140" s="566" t="s">
        <v>281</v>
      </c>
      <c r="D140" s="567"/>
      <c r="E140" s="232"/>
      <c r="F140" s="233"/>
      <c r="G140" s="233"/>
      <c r="H140" s="234" t="e">
        <f>H72+H135+H137+H138+H139</f>
        <v>#REF!</v>
      </c>
      <c r="I140" s="233"/>
      <c r="J140" s="233"/>
      <c r="K140" s="234" t="e">
        <f>K135+K72+K137+K138+K139</f>
        <v>#REF!</v>
      </c>
      <c r="L140" s="235"/>
      <c r="N140" s="212"/>
      <c r="Q140" s="212"/>
    </row>
    <row r="141" spans="1:17" s="209" customFormat="1" ht="20.100000000000001" customHeight="1" x14ac:dyDescent="0.25">
      <c r="A141" s="252"/>
      <c r="B141" s="252"/>
      <c r="C141" s="539"/>
      <c r="D141" s="540"/>
      <c r="E141" s="540"/>
      <c r="F141" s="540"/>
      <c r="G141" s="540"/>
      <c r="H141" s="540"/>
      <c r="I141" s="540"/>
      <c r="J141" s="540"/>
      <c r="K141" s="540"/>
      <c r="L141" s="541"/>
      <c r="N141" s="212"/>
      <c r="Q141" s="212"/>
    </row>
    <row r="142" spans="1:17" s="209" customFormat="1" ht="20.100000000000001" customHeight="1" x14ac:dyDescent="0.25">
      <c r="A142" s="252"/>
      <c r="B142" s="579" t="s">
        <v>11</v>
      </c>
      <c r="C142" s="572" t="s">
        <v>282</v>
      </c>
      <c r="D142" s="572"/>
      <c r="E142" s="572"/>
      <c r="F142" s="572"/>
      <c r="G142" s="572"/>
      <c r="H142" s="572"/>
      <c r="I142" s="572"/>
      <c r="J142" s="572"/>
      <c r="K142" s="572"/>
      <c r="L142" s="572"/>
      <c r="N142" s="212"/>
      <c r="Q142" s="212"/>
    </row>
    <row r="143" spans="1:17" s="209" customFormat="1" ht="20.100000000000001" customHeight="1" x14ac:dyDescent="0.25">
      <c r="A143" s="252"/>
      <c r="B143" s="580"/>
      <c r="C143" s="581" t="s">
        <v>200</v>
      </c>
      <c r="D143" s="547"/>
      <c r="E143" s="240"/>
      <c r="F143" s="241"/>
      <c r="G143" s="241"/>
      <c r="H143" s="241"/>
      <c r="I143" s="241"/>
      <c r="J143" s="241"/>
      <c r="K143" s="241"/>
      <c r="L143" s="242"/>
      <c r="N143" s="212"/>
      <c r="Q143" s="212"/>
    </row>
    <row r="144" spans="1:17" s="263" customFormat="1" ht="20.100000000000001" customHeight="1" x14ac:dyDescent="0.25">
      <c r="A144" s="252"/>
      <c r="B144" s="580"/>
      <c r="C144" s="553" t="s">
        <v>283</v>
      </c>
      <c r="D144" s="554"/>
      <c r="E144" s="265" t="s">
        <v>193</v>
      </c>
      <c r="F144" s="254" t="e">
        <f>#REF!</f>
        <v>#REF!</v>
      </c>
      <c r="G144" s="266">
        <f>'Расценки рабочих'!D39</f>
        <v>60</v>
      </c>
      <c r="H144" s="266" t="e">
        <f>F144*G144</f>
        <v>#REF!</v>
      </c>
      <c r="I144" s="268">
        <v>1.2</v>
      </c>
      <c r="J144" s="266">
        <f>ROUNDUP(G144*(100%+I144),-1)</f>
        <v>140</v>
      </c>
      <c r="K144" s="266" t="e">
        <f>F144*J144</f>
        <v>#REF!</v>
      </c>
      <c r="L144" s="225" t="s">
        <v>11</v>
      </c>
      <c r="N144" s="264"/>
      <c r="Q144" s="264"/>
    </row>
    <row r="145" spans="1:17" s="209" customFormat="1" ht="20.100000000000001" customHeight="1" x14ac:dyDescent="0.25">
      <c r="A145" s="252" t="e">
        <f>IF(F145&gt;0, TRUE, FALSE)</f>
        <v>#REF!</v>
      </c>
      <c r="B145" s="580"/>
      <c r="C145" s="553" t="s">
        <v>283</v>
      </c>
      <c r="D145" s="554"/>
      <c r="E145" s="215" t="s">
        <v>193</v>
      </c>
      <c r="F145" s="254" t="e">
        <f>#REF!</f>
        <v>#REF!</v>
      </c>
      <c r="G145" s="217">
        <f>'[2]Расценки рабочих'!D40</f>
        <v>60</v>
      </c>
      <c r="H145" s="217" t="e">
        <f t="shared" ref="H145:H176" si="27">F145*G145</f>
        <v>#REF!</v>
      </c>
      <c r="I145" s="220">
        <v>1.2</v>
      </c>
      <c r="J145" s="217">
        <f t="shared" ref="J145:J176" si="28">ROUNDUP(G145*(100%+I145),-1)</f>
        <v>140</v>
      </c>
      <c r="K145" s="217" t="e">
        <f t="shared" ref="K145:K176" si="29">F145*J145</f>
        <v>#REF!</v>
      </c>
      <c r="L145" s="225" t="s">
        <v>271</v>
      </c>
      <c r="N145" s="212"/>
      <c r="Q145" s="212"/>
    </row>
    <row r="146" spans="1:17" s="209" customFormat="1" ht="20.100000000000001" customHeight="1" x14ac:dyDescent="0.25">
      <c r="A146" s="252" t="e">
        <f>IF(F146&gt;0, TRUE, FALSE)</f>
        <v>#REF!</v>
      </c>
      <c r="B146" s="580"/>
      <c r="C146" s="553" t="s">
        <v>284</v>
      </c>
      <c r="D146" s="554"/>
      <c r="E146" s="215" t="s">
        <v>193</v>
      </c>
      <c r="F146" s="254" t="e">
        <f>#REF!+#REF!</f>
        <v>#REF!</v>
      </c>
      <c r="G146" s="217">
        <f>'[2]Расценки рабочих'!D41</f>
        <v>100</v>
      </c>
      <c r="H146" s="217" t="e">
        <f t="shared" si="27"/>
        <v>#REF!</v>
      </c>
      <c r="I146" s="220">
        <v>1.2</v>
      </c>
      <c r="J146" s="217">
        <f t="shared" si="28"/>
        <v>220</v>
      </c>
      <c r="K146" s="217" t="e">
        <f t="shared" si="29"/>
        <v>#REF!</v>
      </c>
      <c r="L146" s="218"/>
      <c r="N146" s="212"/>
      <c r="Q146" s="212"/>
    </row>
    <row r="147" spans="1:17" s="209" customFormat="1" ht="20.100000000000001" customHeight="1" x14ac:dyDescent="0.25">
      <c r="A147" s="252" t="e">
        <f>IF(F147&gt;0, TRUE, FALSE)</f>
        <v>#REF!</v>
      </c>
      <c r="B147" s="580"/>
      <c r="C147" s="553" t="s">
        <v>285</v>
      </c>
      <c r="D147" s="554"/>
      <c r="E147" s="215" t="s">
        <v>193</v>
      </c>
      <c r="F147" s="254" t="e">
        <f>#REF!</f>
        <v>#REF!</v>
      </c>
      <c r="G147" s="217">
        <f>'[2]Расценки рабочих'!D42</f>
        <v>100</v>
      </c>
      <c r="H147" s="217" t="e">
        <f t="shared" si="27"/>
        <v>#REF!</v>
      </c>
      <c r="I147" s="220">
        <v>1.2</v>
      </c>
      <c r="J147" s="217">
        <f t="shared" si="28"/>
        <v>220</v>
      </c>
      <c r="K147" s="217" t="e">
        <f t="shared" si="29"/>
        <v>#REF!</v>
      </c>
      <c r="L147" s="218"/>
      <c r="N147" s="212"/>
      <c r="Q147" s="212"/>
    </row>
    <row r="148" spans="1:17" s="263" customFormat="1" ht="30.75" customHeight="1" x14ac:dyDescent="0.25">
      <c r="A148" s="252"/>
      <c r="B148" s="580"/>
      <c r="C148" s="553" t="s">
        <v>442</v>
      </c>
      <c r="D148" s="554"/>
      <c r="E148" s="265" t="s">
        <v>193</v>
      </c>
      <c r="F148" s="269" t="e">
        <f>#REF!</f>
        <v>#REF!</v>
      </c>
      <c r="G148" s="266">
        <f>'[2]Расценки рабочих'!D43</f>
        <v>100</v>
      </c>
      <c r="H148" s="266" t="e">
        <f>F148*G148</f>
        <v>#REF!</v>
      </c>
      <c r="I148" s="268">
        <v>2.2000000000000002</v>
      </c>
      <c r="J148" s="266">
        <f>ROUNDUP(G148*(100%+I148),-1)</f>
        <v>320</v>
      </c>
      <c r="K148" s="266" t="e">
        <f>F148*J148</f>
        <v>#REF!</v>
      </c>
      <c r="L148" s="267"/>
      <c r="N148" s="264"/>
      <c r="Q148" s="264"/>
    </row>
    <row r="149" spans="1:17" s="209" customFormat="1" ht="20.100000000000001" customHeight="1" x14ac:dyDescent="0.25">
      <c r="A149" s="252" t="e">
        <f>IF(F149&gt;0, TRUE, FALSE)</f>
        <v>#REF!</v>
      </c>
      <c r="B149" s="580"/>
      <c r="C149" s="553" t="s">
        <v>286</v>
      </c>
      <c r="D149" s="554"/>
      <c r="E149" s="215" t="s">
        <v>193</v>
      </c>
      <c r="F149" s="254" t="e">
        <f>#REF!+#REF!</f>
        <v>#REF!</v>
      </c>
      <c r="G149" s="217">
        <f>'[2]Расценки рабочих'!D43</f>
        <v>100</v>
      </c>
      <c r="H149" s="217" t="e">
        <f t="shared" si="27"/>
        <v>#REF!</v>
      </c>
      <c r="I149" s="220">
        <v>1.2</v>
      </c>
      <c r="J149" s="217">
        <f t="shared" si="28"/>
        <v>220</v>
      </c>
      <c r="K149" s="217" t="e">
        <f t="shared" si="29"/>
        <v>#REF!</v>
      </c>
      <c r="L149" s="218"/>
      <c r="N149" s="212"/>
      <c r="Q149" s="212"/>
    </row>
    <row r="150" spans="1:17" s="263" customFormat="1" ht="20.100000000000001" customHeight="1" x14ac:dyDescent="0.25">
      <c r="A150" s="252"/>
      <c r="B150" s="580"/>
      <c r="C150" s="553" t="s">
        <v>409</v>
      </c>
      <c r="D150" s="554"/>
      <c r="E150" s="265" t="s">
        <v>193</v>
      </c>
      <c r="F150" s="254" t="e">
        <f>#REF!</f>
        <v>#REF!</v>
      </c>
      <c r="G150" s="266">
        <v>150</v>
      </c>
      <c r="H150" s="266" t="e">
        <f>F150*G150</f>
        <v>#REF!</v>
      </c>
      <c r="I150" s="268">
        <v>1.2</v>
      </c>
      <c r="J150" s="266">
        <f>ROUNDUP(G150*(100%+I150),-1)</f>
        <v>330</v>
      </c>
      <c r="K150" s="266" t="e">
        <f>F150*J150</f>
        <v>#REF!</v>
      </c>
      <c r="L150" s="337" t="s">
        <v>410</v>
      </c>
      <c r="N150" s="264"/>
      <c r="Q150" s="264"/>
    </row>
    <row r="151" spans="1:17" s="263" customFormat="1" ht="20.100000000000001" customHeight="1" x14ac:dyDescent="0.25">
      <c r="A151" s="252"/>
      <c r="B151" s="580"/>
      <c r="C151" s="553" t="s">
        <v>427</v>
      </c>
      <c r="D151" s="554"/>
      <c r="E151" s="265" t="s">
        <v>193</v>
      </c>
      <c r="F151" s="279"/>
      <c r="G151" s="266">
        <v>400</v>
      </c>
      <c r="H151" s="266">
        <f>F151*G151</f>
        <v>0</v>
      </c>
      <c r="I151" s="268">
        <v>1.2</v>
      </c>
      <c r="J151" s="266">
        <f>ROUNDUP(G151*(100%+I151),-1)</f>
        <v>880</v>
      </c>
      <c r="K151" s="266">
        <f>F151*J151</f>
        <v>0</v>
      </c>
      <c r="L151" s="337" t="s">
        <v>426</v>
      </c>
      <c r="N151" s="264"/>
      <c r="Q151" s="264"/>
    </row>
    <row r="152" spans="1:17" s="209" customFormat="1" ht="20.100000000000001" customHeight="1" x14ac:dyDescent="0.25">
      <c r="A152" s="252" t="b">
        <f t="shared" ref="A152:A164" si="30">IF(F152&gt;0, TRUE, FALSE)</f>
        <v>0</v>
      </c>
      <c r="B152" s="580"/>
      <c r="C152" s="533" t="s">
        <v>287</v>
      </c>
      <c r="D152" s="534"/>
      <c r="E152" s="215" t="s">
        <v>193</v>
      </c>
      <c r="F152" s="279"/>
      <c r="G152" s="217">
        <f>'[2]Расценки рабочих'!D44</f>
        <v>40</v>
      </c>
      <c r="H152" s="217">
        <f t="shared" si="27"/>
        <v>0</v>
      </c>
      <c r="I152" s="220">
        <v>1.2</v>
      </c>
      <c r="J152" s="217">
        <f t="shared" si="28"/>
        <v>90</v>
      </c>
      <c r="K152" s="217">
        <f t="shared" si="29"/>
        <v>0</v>
      </c>
      <c r="L152" s="218"/>
      <c r="N152" s="212"/>
      <c r="Q152" s="212"/>
    </row>
    <row r="153" spans="1:17" s="209" customFormat="1" ht="20.100000000000001" customHeight="1" x14ac:dyDescent="0.25">
      <c r="A153" s="252" t="b">
        <f t="shared" si="30"/>
        <v>0</v>
      </c>
      <c r="B153" s="580"/>
      <c r="C153" s="537" t="s">
        <v>288</v>
      </c>
      <c r="D153" s="524"/>
      <c r="E153" s="215" t="s">
        <v>193</v>
      </c>
      <c r="F153" s="279"/>
      <c r="G153" s="217">
        <f>'[2]Расценки рабочих'!D45</f>
        <v>300</v>
      </c>
      <c r="H153" s="217">
        <f t="shared" si="27"/>
        <v>0</v>
      </c>
      <c r="I153" s="220">
        <v>1.2</v>
      </c>
      <c r="J153" s="217">
        <f t="shared" si="28"/>
        <v>660</v>
      </c>
      <c r="K153" s="217">
        <f t="shared" si="29"/>
        <v>0</v>
      </c>
      <c r="L153" s="218"/>
      <c r="N153" s="212"/>
      <c r="Q153" s="212"/>
    </row>
    <row r="154" spans="1:17" s="209" customFormat="1" ht="20.100000000000001" customHeight="1" x14ac:dyDescent="0.25">
      <c r="A154" s="252" t="e">
        <f t="shared" si="30"/>
        <v>#REF!</v>
      </c>
      <c r="B154" s="580"/>
      <c r="C154" s="537" t="s">
        <v>289</v>
      </c>
      <c r="D154" s="524"/>
      <c r="E154" s="215" t="s">
        <v>193</v>
      </c>
      <c r="F154" s="221" t="e">
        <f>#REF!</f>
        <v>#REF!</v>
      </c>
      <c r="G154" s="217">
        <v>500</v>
      </c>
      <c r="H154" s="217" t="e">
        <f t="shared" si="27"/>
        <v>#REF!</v>
      </c>
      <c r="I154" s="220">
        <v>1.2</v>
      </c>
      <c r="J154" s="217">
        <f t="shared" si="28"/>
        <v>1100</v>
      </c>
      <c r="K154" s="217" t="e">
        <f t="shared" si="29"/>
        <v>#REF!</v>
      </c>
      <c r="L154" s="218"/>
      <c r="N154" s="212"/>
      <c r="Q154" s="212"/>
    </row>
    <row r="155" spans="1:17" s="209" customFormat="1" ht="20.100000000000001" customHeight="1" x14ac:dyDescent="0.25">
      <c r="A155" s="252" t="b">
        <f t="shared" si="30"/>
        <v>0</v>
      </c>
      <c r="B155" s="580"/>
      <c r="C155" s="537" t="s">
        <v>290</v>
      </c>
      <c r="D155" s="524"/>
      <c r="E155" s="215" t="s">
        <v>193</v>
      </c>
      <c r="F155" s="279"/>
      <c r="G155" s="217">
        <f>'[2]Расценки рабочих'!D47</f>
        <v>250</v>
      </c>
      <c r="H155" s="217">
        <f t="shared" si="27"/>
        <v>0</v>
      </c>
      <c r="I155" s="220">
        <v>1.2</v>
      </c>
      <c r="J155" s="217">
        <f t="shared" si="28"/>
        <v>550</v>
      </c>
      <c r="K155" s="217">
        <f t="shared" si="29"/>
        <v>0</v>
      </c>
      <c r="L155" s="218"/>
      <c r="N155" s="212"/>
      <c r="Q155" s="212"/>
    </row>
    <row r="156" spans="1:17" s="209" customFormat="1" ht="20.100000000000001" customHeight="1" x14ac:dyDescent="0.25">
      <c r="A156" s="252" t="b">
        <f t="shared" si="30"/>
        <v>0</v>
      </c>
      <c r="B156" s="580"/>
      <c r="C156" s="537" t="s">
        <v>291</v>
      </c>
      <c r="D156" s="524"/>
      <c r="E156" s="215" t="s">
        <v>193</v>
      </c>
      <c r="F156" s="279"/>
      <c r="G156" s="217">
        <v>900</v>
      </c>
      <c r="H156" s="217">
        <f t="shared" si="27"/>
        <v>0</v>
      </c>
      <c r="I156" s="220">
        <v>1.1000000000000001</v>
      </c>
      <c r="J156" s="217">
        <f t="shared" si="28"/>
        <v>1890</v>
      </c>
      <c r="K156" s="217">
        <f t="shared" si="29"/>
        <v>0</v>
      </c>
      <c r="L156" s="218"/>
      <c r="N156" s="212"/>
      <c r="Q156" s="212"/>
    </row>
    <row r="157" spans="1:17" s="209" customFormat="1" ht="20.100000000000001" customHeight="1" x14ac:dyDescent="0.25">
      <c r="A157" s="252" t="e">
        <f t="shared" si="30"/>
        <v>#REF!</v>
      </c>
      <c r="B157" s="580"/>
      <c r="C157" s="533" t="s">
        <v>292</v>
      </c>
      <c r="D157" s="534"/>
      <c r="E157" s="215" t="s">
        <v>24</v>
      </c>
      <c r="F157" s="254" t="e">
        <f>#REF!+#REF!</f>
        <v>#REF!</v>
      </c>
      <c r="G157" s="217">
        <f>'[2]Расценки рабочих'!D49</f>
        <v>150</v>
      </c>
      <c r="H157" s="217" t="e">
        <f t="shared" si="27"/>
        <v>#REF!</v>
      </c>
      <c r="I157" s="220">
        <v>1</v>
      </c>
      <c r="J157" s="217">
        <f t="shared" si="28"/>
        <v>300</v>
      </c>
      <c r="K157" s="217" t="e">
        <f t="shared" si="29"/>
        <v>#REF!</v>
      </c>
      <c r="L157" s="218"/>
      <c r="N157" s="212"/>
      <c r="Q157" s="212"/>
    </row>
    <row r="158" spans="1:17" s="209" customFormat="1" ht="20.100000000000001" customHeight="1" x14ac:dyDescent="0.25">
      <c r="A158" s="252" t="e">
        <f t="shared" si="30"/>
        <v>#REF!</v>
      </c>
      <c r="B158" s="580"/>
      <c r="C158" s="537" t="s">
        <v>293</v>
      </c>
      <c r="D158" s="524"/>
      <c r="E158" s="215" t="s">
        <v>24</v>
      </c>
      <c r="F158" s="254" t="e">
        <f>#REF!</f>
        <v>#REF!</v>
      </c>
      <c r="G158" s="217">
        <f>'[2]Расценки рабочих'!D50</f>
        <v>150</v>
      </c>
      <c r="H158" s="217" t="e">
        <f t="shared" si="27"/>
        <v>#REF!</v>
      </c>
      <c r="I158" s="220">
        <v>1</v>
      </c>
      <c r="J158" s="217">
        <f t="shared" si="28"/>
        <v>300</v>
      </c>
      <c r="K158" s="217" t="e">
        <f t="shared" si="29"/>
        <v>#REF!</v>
      </c>
      <c r="L158" s="218"/>
      <c r="N158" s="212"/>
      <c r="Q158" s="212"/>
    </row>
    <row r="159" spans="1:17" s="209" customFormat="1" ht="20.100000000000001" customHeight="1" x14ac:dyDescent="0.25">
      <c r="A159" s="252" t="e">
        <f t="shared" si="30"/>
        <v>#REF!</v>
      </c>
      <c r="B159" s="580"/>
      <c r="C159" s="537" t="s">
        <v>294</v>
      </c>
      <c r="D159" s="524"/>
      <c r="E159" s="215" t="s">
        <v>24</v>
      </c>
      <c r="F159" s="254" t="e">
        <f>#REF!+#REF!</f>
        <v>#REF!</v>
      </c>
      <c r="G159" s="217">
        <f>'[2]Расценки рабочих'!D51</f>
        <v>150</v>
      </c>
      <c r="H159" s="217" t="e">
        <f t="shared" si="27"/>
        <v>#REF!</v>
      </c>
      <c r="I159" s="220">
        <v>1</v>
      </c>
      <c r="J159" s="217">
        <f t="shared" si="28"/>
        <v>300</v>
      </c>
      <c r="K159" s="217" t="e">
        <f t="shared" si="29"/>
        <v>#REF!</v>
      </c>
      <c r="L159" s="218"/>
      <c r="N159" s="212"/>
      <c r="Q159" s="212"/>
    </row>
    <row r="160" spans="1:17" s="209" customFormat="1" ht="20.100000000000001" customHeight="1" x14ac:dyDescent="0.25">
      <c r="A160" s="252" t="e">
        <f t="shared" si="30"/>
        <v>#REF!</v>
      </c>
      <c r="B160" s="580"/>
      <c r="C160" s="556" t="s">
        <v>295</v>
      </c>
      <c r="D160" s="557"/>
      <c r="E160" s="215" t="s">
        <v>24</v>
      </c>
      <c r="F160" s="254" t="e">
        <f>#REF!</f>
        <v>#REF!</v>
      </c>
      <c r="G160" s="217">
        <f>'[2]Расценки рабочих'!D52</f>
        <v>150</v>
      </c>
      <c r="H160" s="217" t="e">
        <f t="shared" si="27"/>
        <v>#REF!</v>
      </c>
      <c r="I160" s="220">
        <v>1</v>
      </c>
      <c r="J160" s="217">
        <f t="shared" si="28"/>
        <v>300</v>
      </c>
      <c r="K160" s="217" t="e">
        <f t="shared" si="29"/>
        <v>#REF!</v>
      </c>
      <c r="L160" s="218"/>
      <c r="N160" s="212"/>
      <c r="Q160" s="212"/>
    </row>
    <row r="161" spans="1:17" s="209" customFormat="1" ht="20.100000000000001" customHeight="1" x14ac:dyDescent="0.25">
      <c r="A161" s="252" t="e">
        <f t="shared" si="30"/>
        <v>#REF!</v>
      </c>
      <c r="B161" s="580"/>
      <c r="C161" s="537" t="s">
        <v>296</v>
      </c>
      <c r="D161" s="524"/>
      <c r="E161" s="215" t="s">
        <v>10</v>
      </c>
      <c r="F161" s="279" t="e">
        <f>ROUNDUP(#REF!/3,1)</f>
        <v>#REF!</v>
      </c>
      <c r="G161" s="217">
        <f>'[2]Расценки рабочих'!D53</f>
        <v>500</v>
      </c>
      <c r="H161" s="217" t="e">
        <f t="shared" si="27"/>
        <v>#REF!</v>
      </c>
      <c r="I161" s="220">
        <v>1.4</v>
      </c>
      <c r="J161" s="217">
        <f t="shared" si="28"/>
        <v>1200</v>
      </c>
      <c r="K161" s="217" t="e">
        <f t="shared" si="29"/>
        <v>#REF!</v>
      </c>
      <c r="L161" s="218"/>
      <c r="N161" s="212"/>
      <c r="Q161" s="212"/>
    </row>
    <row r="162" spans="1:17" s="209" customFormat="1" ht="20.100000000000001" customHeight="1" x14ac:dyDescent="0.25">
      <c r="A162" s="252" t="e">
        <f t="shared" si="30"/>
        <v>#REF!</v>
      </c>
      <c r="B162" s="580"/>
      <c r="C162" s="537" t="s">
        <v>297</v>
      </c>
      <c r="D162" s="524"/>
      <c r="E162" s="215" t="s">
        <v>10</v>
      </c>
      <c r="F162" s="221" t="e">
        <f>F195</f>
        <v>#REF!</v>
      </c>
      <c r="G162" s="217">
        <f>'[2]Расценки рабочих'!D54</f>
        <v>3000</v>
      </c>
      <c r="H162" s="217" t="e">
        <f t="shared" si="27"/>
        <v>#REF!</v>
      </c>
      <c r="I162" s="220">
        <v>1</v>
      </c>
      <c r="J162" s="217">
        <f t="shared" si="28"/>
        <v>6000</v>
      </c>
      <c r="K162" s="217" t="e">
        <f t="shared" si="29"/>
        <v>#REF!</v>
      </c>
      <c r="L162" s="218"/>
      <c r="N162" s="212"/>
      <c r="Q162" s="212"/>
    </row>
    <row r="163" spans="1:17" s="209" customFormat="1" ht="20.100000000000001" customHeight="1" x14ac:dyDescent="0.25">
      <c r="A163" s="252" t="b">
        <f t="shared" si="30"/>
        <v>0</v>
      </c>
      <c r="B163" s="580"/>
      <c r="C163" s="537" t="s">
        <v>298</v>
      </c>
      <c r="D163" s="524"/>
      <c r="E163" s="215" t="s">
        <v>10</v>
      </c>
      <c r="F163" s="279">
        <v>0</v>
      </c>
      <c r="G163" s="217">
        <f>'[2]Расценки рабочих'!D55</f>
        <v>700</v>
      </c>
      <c r="H163" s="217">
        <f t="shared" si="27"/>
        <v>0</v>
      </c>
      <c r="I163" s="220">
        <v>1.2</v>
      </c>
      <c r="J163" s="217">
        <f>ROUNDUP(G163*(100%+I163),-2)</f>
        <v>1600</v>
      </c>
      <c r="K163" s="217">
        <f t="shared" si="29"/>
        <v>0</v>
      </c>
      <c r="L163" s="218" t="s">
        <v>299</v>
      </c>
      <c r="N163" s="212"/>
      <c r="Q163" s="212"/>
    </row>
    <row r="164" spans="1:17" s="209" customFormat="1" ht="20.100000000000001" customHeight="1" x14ac:dyDescent="0.25">
      <c r="A164" s="252" t="e">
        <f t="shared" si="30"/>
        <v>#REF!</v>
      </c>
      <c r="B164" s="580"/>
      <c r="C164" s="548" t="s">
        <v>300</v>
      </c>
      <c r="D164" s="549"/>
      <c r="E164" s="215" t="s">
        <v>193</v>
      </c>
      <c r="F164" s="254" t="e">
        <f>#REF!</f>
        <v>#REF!</v>
      </c>
      <c r="G164" s="217">
        <f>'[2]Расценки рабочих'!D56</f>
        <v>125</v>
      </c>
      <c r="H164" s="217" t="e">
        <f t="shared" si="27"/>
        <v>#REF!</v>
      </c>
      <c r="I164" s="220">
        <v>1.35</v>
      </c>
      <c r="J164" s="217">
        <f t="shared" si="28"/>
        <v>300</v>
      </c>
      <c r="K164" s="217" t="e">
        <f t="shared" si="29"/>
        <v>#REF!</v>
      </c>
      <c r="L164" s="218"/>
      <c r="N164" s="212"/>
      <c r="Q164" s="212"/>
    </row>
    <row r="165" spans="1:17" s="263" customFormat="1" ht="20.100000000000001" customHeight="1" x14ac:dyDescent="0.25">
      <c r="A165" s="252"/>
      <c r="B165" s="580"/>
      <c r="C165" s="548" t="s">
        <v>375</v>
      </c>
      <c r="D165" s="549"/>
      <c r="E165" s="265" t="s">
        <v>193</v>
      </c>
      <c r="F165" s="254" t="e">
        <f>#REF!</f>
        <v>#REF!</v>
      </c>
      <c r="G165" s="266">
        <v>125</v>
      </c>
      <c r="H165" s="266" t="e">
        <f>F165*G165</f>
        <v>#REF!</v>
      </c>
      <c r="I165" s="268">
        <v>1.35</v>
      </c>
      <c r="J165" s="266">
        <f>ROUNDUP(G165*(100%+I165),-1)</f>
        <v>300</v>
      </c>
      <c r="K165" s="266" t="e">
        <f>F165*J165</f>
        <v>#REF!</v>
      </c>
      <c r="L165" s="267"/>
      <c r="N165" s="264"/>
      <c r="Q165" s="264"/>
    </row>
    <row r="166" spans="1:17" s="209" customFormat="1" ht="20.100000000000001" customHeight="1" x14ac:dyDescent="0.25">
      <c r="A166" s="252" t="e">
        <f>IF(F166&gt;0, TRUE, FALSE)</f>
        <v>#REF!</v>
      </c>
      <c r="B166" s="580"/>
      <c r="C166" s="537" t="s">
        <v>301</v>
      </c>
      <c r="D166" s="524"/>
      <c r="E166" s="215" t="s">
        <v>193</v>
      </c>
      <c r="F166" s="269" t="e">
        <f>F165+F164</f>
        <v>#REF!</v>
      </c>
      <c r="G166" s="217">
        <f>'[2]Расценки рабочих'!D57</f>
        <v>100</v>
      </c>
      <c r="H166" s="217" t="e">
        <f t="shared" si="27"/>
        <v>#REF!</v>
      </c>
      <c r="I166" s="220">
        <v>1.2</v>
      </c>
      <c r="J166" s="217">
        <f t="shared" si="28"/>
        <v>220</v>
      </c>
      <c r="K166" s="217" t="e">
        <f t="shared" si="29"/>
        <v>#REF!</v>
      </c>
      <c r="L166" s="218"/>
      <c r="N166" s="212"/>
      <c r="Q166" s="212"/>
    </row>
    <row r="167" spans="1:17" s="209" customFormat="1" ht="23.25" customHeight="1" x14ac:dyDescent="0.25">
      <c r="A167" s="252" t="e">
        <f>IF(F167&gt;0, TRUE, FALSE)</f>
        <v>#REF!</v>
      </c>
      <c r="B167" s="580"/>
      <c r="C167" s="537" t="s">
        <v>302</v>
      </c>
      <c r="D167" s="524"/>
      <c r="E167" s="215" t="s">
        <v>193</v>
      </c>
      <c r="F167" s="269" t="e">
        <f>F164+F165</f>
        <v>#REF!</v>
      </c>
      <c r="G167" s="217">
        <f>'[2]Расценки рабочих'!D58</f>
        <v>50</v>
      </c>
      <c r="H167" s="217" t="e">
        <f t="shared" si="27"/>
        <v>#REF!</v>
      </c>
      <c r="I167" s="220">
        <v>1.2</v>
      </c>
      <c r="J167" s="217">
        <f t="shared" si="28"/>
        <v>110</v>
      </c>
      <c r="K167" s="217" t="e">
        <f t="shared" si="29"/>
        <v>#REF!</v>
      </c>
      <c r="L167" s="267" t="s">
        <v>440</v>
      </c>
      <c r="N167" s="212"/>
      <c r="Q167" s="212"/>
    </row>
    <row r="168" spans="1:17" s="209" customFormat="1" ht="20.100000000000001" customHeight="1" x14ac:dyDescent="0.25">
      <c r="A168" s="252" t="e">
        <f>IF(F168&gt;0, TRUE, FALSE)</f>
        <v>#REF!</v>
      </c>
      <c r="B168" s="580"/>
      <c r="C168" s="537" t="s">
        <v>411</v>
      </c>
      <c r="D168" s="524"/>
      <c r="E168" s="215" t="s">
        <v>193</v>
      </c>
      <c r="F168" s="254" t="e">
        <f>#REF!</f>
        <v>#REF!</v>
      </c>
      <c r="G168" s="217">
        <f>'[2]Расценки рабочих'!D59</f>
        <v>50</v>
      </c>
      <c r="H168" s="217" t="e">
        <f t="shared" si="27"/>
        <v>#REF!</v>
      </c>
      <c r="I168" s="220">
        <v>1.2</v>
      </c>
      <c r="J168" s="217">
        <f t="shared" si="28"/>
        <v>110</v>
      </c>
      <c r="K168" s="217" t="e">
        <f t="shared" si="29"/>
        <v>#REF!</v>
      </c>
      <c r="L168" s="218"/>
      <c r="N168" s="212"/>
      <c r="Q168" s="212"/>
    </row>
    <row r="169" spans="1:17" s="209" customFormat="1" ht="20.100000000000001" customHeight="1" x14ac:dyDescent="0.25">
      <c r="A169" s="252" t="e">
        <f t="shared" ref="A169:A243" si="31">IF(F169&gt;0, TRUE, FALSE)</f>
        <v>#REF!</v>
      </c>
      <c r="B169" s="580"/>
      <c r="C169" s="537" t="s">
        <v>303</v>
      </c>
      <c r="D169" s="524"/>
      <c r="E169" s="215" t="s">
        <v>193</v>
      </c>
      <c r="F169" s="254" t="e">
        <f>#REF!</f>
        <v>#REF!</v>
      </c>
      <c r="G169" s="217">
        <f>'[2]Расценки рабочих'!D60</f>
        <v>50</v>
      </c>
      <c r="H169" s="217" t="e">
        <f t="shared" si="27"/>
        <v>#REF!</v>
      </c>
      <c r="I169" s="220">
        <v>1</v>
      </c>
      <c r="J169" s="217">
        <f t="shared" si="28"/>
        <v>100</v>
      </c>
      <c r="K169" s="217" t="e">
        <f t="shared" si="29"/>
        <v>#REF!</v>
      </c>
      <c r="L169" s="218"/>
      <c r="N169" s="212"/>
      <c r="Q169" s="212"/>
    </row>
    <row r="170" spans="1:17" s="209" customFormat="1" ht="20.100000000000001" customHeight="1" x14ac:dyDescent="0.25">
      <c r="A170" s="252" t="e">
        <f t="shared" si="31"/>
        <v>#REF!</v>
      </c>
      <c r="B170" s="580"/>
      <c r="C170" s="537" t="s">
        <v>304</v>
      </c>
      <c r="D170" s="524"/>
      <c r="E170" s="215" t="s">
        <v>193</v>
      </c>
      <c r="F170" s="269" t="e">
        <f>ROUNDUP(F172*0.91,1)</f>
        <v>#REF!</v>
      </c>
      <c r="G170" s="217">
        <f>'[2]Расценки рабочих'!D61</f>
        <v>50</v>
      </c>
      <c r="H170" s="217" t="e">
        <f t="shared" si="27"/>
        <v>#REF!</v>
      </c>
      <c r="I170" s="220">
        <v>1.2</v>
      </c>
      <c r="J170" s="217">
        <f t="shared" si="28"/>
        <v>110</v>
      </c>
      <c r="K170" s="217" t="e">
        <f t="shared" si="29"/>
        <v>#REF!</v>
      </c>
      <c r="L170" s="218"/>
      <c r="N170" s="212"/>
      <c r="Q170" s="212"/>
    </row>
    <row r="171" spans="1:17" s="209" customFormat="1" ht="20.100000000000001" customHeight="1" x14ac:dyDescent="0.25">
      <c r="A171" s="252" t="e">
        <f t="shared" si="31"/>
        <v>#REF!</v>
      </c>
      <c r="B171" s="580"/>
      <c r="C171" s="537" t="s">
        <v>305</v>
      </c>
      <c r="D171" s="524"/>
      <c r="E171" s="215" t="s">
        <v>193</v>
      </c>
      <c r="F171" s="269" t="e">
        <f>ROUNDUP(F172*0.475,1)</f>
        <v>#REF!</v>
      </c>
      <c r="G171" s="217">
        <f>'[2]Расценки рабочих'!D62</f>
        <v>120</v>
      </c>
      <c r="H171" s="217" t="e">
        <f t="shared" si="27"/>
        <v>#REF!</v>
      </c>
      <c r="I171" s="220">
        <v>1.2</v>
      </c>
      <c r="J171" s="217">
        <f t="shared" si="28"/>
        <v>270</v>
      </c>
      <c r="K171" s="217" t="e">
        <f t="shared" si="29"/>
        <v>#REF!</v>
      </c>
      <c r="L171" s="218"/>
      <c r="N171" s="212"/>
      <c r="Q171" s="212"/>
    </row>
    <row r="172" spans="1:17" s="209" customFormat="1" ht="20.100000000000001" customHeight="1" x14ac:dyDescent="0.25">
      <c r="A172" s="252" t="e">
        <f t="shared" si="31"/>
        <v>#REF!</v>
      </c>
      <c r="B172" s="580"/>
      <c r="C172" s="537" t="s">
        <v>306</v>
      </c>
      <c r="D172" s="524"/>
      <c r="E172" s="215" t="s">
        <v>24</v>
      </c>
      <c r="F172" s="254" t="e">
        <f>#REF!+#REF!</f>
        <v>#REF!</v>
      </c>
      <c r="G172" s="217">
        <f>'[2]Расценки рабочих'!D63</f>
        <v>150</v>
      </c>
      <c r="H172" s="217" t="e">
        <f t="shared" si="27"/>
        <v>#REF!</v>
      </c>
      <c r="I172" s="220">
        <v>1.1000000000000001</v>
      </c>
      <c r="J172" s="217">
        <f t="shared" si="28"/>
        <v>320</v>
      </c>
      <c r="K172" s="217" t="e">
        <f t="shared" si="29"/>
        <v>#REF!</v>
      </c>
      <c r="L172" s="218"/>
      <c r="N172" s="212"/>
      <c r="Q172" s="212"/>
    </row>
    <row r="173" spans="1:17" s="209" customFormat="1" ht="20.100000000000001" customHeight="1" x14ac:dyDescent="0.25">
      <c r="A173" s="252" t="e">
        <f t="shared" si="31"/>
        <v>#REF!</v>
      </c>
      <c r="B173" s="580"/>
      <c r="C173" s="537" t="s">
        <v>307</v>
      </c>
      <c r="D173" s="524"/>
      <c r="E173" s="215" t="s">
        <v>193</v>
      </c>
      <c r="F173" s="221" t="e">
        <f>ROUNDUP(F175*2.5,1)</f>
        <v>#REF!</v>
      </c>
      <c r="G173" s="217">
        <f>'[2]Расценки рабочих'!D64</f>
        <v>50</v>
      </c>
      <c r="H173" s="217" t="e">
        <f t="shared" si="27"/>
        <v>#REF!</v>
      </c>
      <c r="I173" s="220">
        <v>1.2</v>
      </c>
      <c r="J173" s="217">
        <f t="shared" si="28"/>
        <v>110</v>
      </c>
      <c r="K173" s="217" t="e">
        <f t="shared" si="29"/>
        <v>#REF!</v>
      </c>
      <c r="L173" s="218"/>
      <c r="N173" s="212"/>
      <c r="Q173" s="212"/>
    </row>
    <row r="174" spans="1:17" s="209" customFormat="1" ht="20.100000000000001" customHeight="1" x14ac:dyDescent="0.25">
      <c r="A174" s="252" t="e">
        <f t="shared" si="31"/>
        <v>#REF!</v>
      </c>
      <c r="B174" s="580"/>
      <c r="C174" s="537" t="s">
        <v>308</v>
      </c>
      <c r="D174" s="524"/>
      <c r="E174" s="215" t="s">
        <v>193</v>
      </c>
      <c r="F174" s="221" t="e">
        <f>ROUNDUP(F175*1.5,1)</f>
        <v>#REF!</v>
      </c>
      <c r="G174" s="217">
        <f>'[2]Расценки рабочих'!D65</f>
        <v>120</v>
      </c>
      <c r="H174" s="217" t="e">
        <f t="shared" si="27"/>
        <v>#REF!</v>
      </c>
      <c r="I174" s="220">
        <v>1.2</v>
      </c>
      <c r="J174" s="217">
        <f t="shared" si="28"/>
        <v>270</v>
      </c>
      <c r="K174" s="217" t="e">
        <f t="shared" si="29"/>
        <v>#REF!</v>
      </c>
      <c r="L174" s="218"/>
      <c r="N174" s="212"/>
      <c r="Q174" s="212"/>
    </row>
    <row r="175" spans="1:17" s="209" customFormat="1" ht="20.100000000000001" customHeight="1" x14ac:dyDescent="0.25">
      <c r="A175" s="252" t="e">
        <f t="shared" si="31"/>
        <v>#REF!</v>
      </c>
      <c r="B175" s="580"/>
      <c r="C175" s="537" t="s">
        <v>309</v>
      </c>
      <c r="D175" s="524"/>
      <c r="E175" s="215" t="s">
        <v>193</v>
      </c>
      <c r="F175" s="254" t="e">
        <f>#REF!+#REF!</f>
        <v>#REF!</v>
      </c>
      <c r="G175" s="217">
        <f>'[2]Расценки рабочих'!D66</f>
        <v>300</v>
      </c>
      <c r="H175" s="217" t="e">
        <f t="shared" si="27"/>
        <v>#REF!</v>
      </c>
      <c r="I175" s="220">
        <v>1.1000000000000001</v>
      </c>
      <c r="J175" s="217">
        <f t="shared" si="28"/>
        <v>630</v>
      </c>
      <c r="K175" s="217" t="e">
        <f t="shared" si="29"/>
        <v>#REF!</v>
      </c>
      <c r="L175" s="218"/>
      <c r="N175" s="212"/>
      <c r="Q175" s="212"/>
    </row>
    <row r="176" spans="1:17" s="209" customFormat="1" ht="20.100000000000001" customHeight="1" x14ac:dyDescent="0.25">
      <c r="A176" s="252" t="e">
        <f t="shared" si="31"/>
        <v>#REF!</v>
      </c>
      <c r="B176" s="580"/>
      <c r="C176" s="537" t="s">
        <v>310</v>
      </c>
      <c r="D176" s="524"/>
      <c r="E176" s="215" t="s">
        <v>24</v>
      </c>
      <c r="F176" s="254" t="e">
        <f>#REF!</f>
        <v>#REF!</v>
      </c>
      <c r="G176" s="217">
        <f>'[2]Расценки рабочих'!D67</f>
        <v>250</v>
      </c>
      <c r="H176" s="217" t="e">
        <f t="shared" si="27"/>
        <v>#REF!</v>
      </c>
      <c r="I176" s="220">
        <v>1</v>
      </c>
      <c r="J176" s="217">
        <f t="shared" si="28"/>
        <v>500</v>
      </c>
      <c r="K176" s="217" t="e">
        <f t="shared" si="29"/>
        <v>#REF!</v>
      </c>
      <c r="L176" s="218"/>
      <c r="N176" s="212"/>
      <c r="Q176" s="212"/>
    </row>
    <row r="177" spans="1:20" s="209" customFormat="1" ht="20.100000000000001" customHeight="1" x14ac:dyDescent="0.25">
      <c r="A177" s="252" t="b">
        <f t="shared" si="31"/>
        <v>1</v>
      </c>
      <c r="B177" s="580"/>
      <c r="C177" s="537" t="s">
        <v>311</v>
      </c>
      <c r="D177" s="524"/>
      <c r="E177" s="215" t="s">
        <v>10</v>
      </c>
      <c r="F177" s="278">
        <v>14</v>
      </c>
      <c r="G177" s="217">
        <f>'[2]Расценки рабочих'!D68</f>
        <v>700</v>
      </c>
      <c r="H177" s="217">
        <f>F177*G177</f>
        <v>9800</v>
      </c>
      <c r="I177" s="220">
        <v>1.1000000000000001</v>
      </c>
      <c r="J177" s="217">
        <f>ROUNDUP(G177*(100%+I177),-2)</f>
        <v>1500</v>
      </c>
      <c r="K177" s="217">
        <f>F177*J177</f>
        <v>21000</v>
      </c>
      <c r="L177" s="218"/>
      <c r="N177" s="212"/>
      <c r="Q177" s="212"/>
    </row>
    <row r="178" spans="1:20" s="263" customFormat="1" ht="20.100000000000001" customHeight="1" x14ac:dyDescent="0.25">
      <c r="A178" s="208" t="e">
        <f>OR(A179:A191)</f>
        <v>#REF!</v>
      </c>
      <c r="B178" s="580"/>
      <c r="C178" s="551" t="s">
        <v>470</v>
      </c>
      <c r="D178" s="552"/>
      <c r="E178" s="265"/>
      <c r="F178" s="266"/>
      <c r="G178" s="266"/>
      <c r="H178" s="353" t="e">
        <f>SUM(H144:H177)</f>
        <v>#REF!</v>
      </c>
      <c r="I178" s="266"/>
      <c r="J178" s="266"/>
      <c r="K178" s="353" t="e">
        <f>SUM(K144:K177)</f>
        <v>#REF!</v>
      </c>
      <c r="L178" s="267"/>
      <c r="N178" s="264"/>
      <c r="Q178" s="264"/>
    </row>
    <row r="179" spans="1:20" s="209" customFormat="1" ht="20.100000000000001" customHeight="1" x14ac:dyDescent="0.25">
      <c r="A179" s="252"/>
      <c r="B179" s="580"/>
      <c r="C179" s="550" t="s">
        <v>215</v>
      </c>
      <c r="D179" s="536"/>
      <c r="E179" s="215"/>
      <c r="F179" s="217"/>
      <c r="G179" s="217"/>
      <c r="H179" s="217"/>
      <c r="I179" s="217"/>
      <c r="J179" s="217"/>
      <c r="K179" s="217"/>
      <c r="L179" s="218"/>
      <c r="N179" s="212"/>
      <c r="Q179" s="212"/>
    </row>
    <row r="180" spans="1:20" s="263" customFormat="1" ht="20.100000000000001" customHeight="1" x14ac:dyDescent="0.25">
      <c r="A180" s="252"/>
      <c r="B180" s="580"/>
      <c r="C180" s="537" t="s">
        <v>414</v>
      </c>
      <c r="D180" s="524"/>
      <c r="E180" s="265" t="s">
        <v>206</v>
      </c>
      <c r="F180" s="257" t="e">
        <f>#REF!</f>
        <v>#REF!</v>
      </c>
      <c r="G180" s="266">
        <v>15000</v>
      </c>
      <c r="H180" s="266" t="e">
        <f>F180*G180</f>
        <v>#REF!</v>
      </c>
      <c r="I180" s="271">
        <v>0.39</v>
      </c>
      <c r="J180" s="266">
        <f>ROUNDUP(G180*(100%+I180),-1)</f>
        <v>20850</v>
      </c>
      <c r="K180" s="266" t="e">
        <f>F180*J180</f>
        <v>#REF!</v>
      </c>
      <c r="L180" s="284" t="s">
        <v>443</v>
      </c>
      <c r="N180" s="264"/>
      <c r="Q180" s="264"/>
    </row>
    <row r="181" spans="1:20" s="263" customFormat="1" ht="20.100000000000001" customHeight="1" x14ac:dyDescent="0.25">
      <c r="A181" s="252"/>
      <c r="B181" s="580"/>
      <c r="C181" s="537" t="s">
        <v>312</v>
      </c>
      <c r="D181" s="524"/>
      <c r="E181" s="265" t="s">
        <v>206</v>
      </c>
      <c r="F181" s="257" t="e">
        <f>#REF!</f>
        <v>#REF!</v>
      </c>
      <c r="G181" s="266">
        <v>15000</v>
      </c>
      <c r="H181" s="266" t="e">
        <f>F181*G181</f>
        <v>#REF!</v>
      </c>
      <c r="I181" s="271">
        <v>0.39</v>
      </c>
      <c r="J181" s="266">
        <f>ROUNDUP(G181*(100%+I181),-1)</f>
        <v>20850</v>
      </c>
      <c r="K181" s="266" t="e">
        <f>F181*J181</f>
        <v>#REF!</v>
      </c>
      <c r="L181" s="267" t="s">
        <v>412</v>
      </c>
      <c r="N181" s="264"/>
      <c r="Q181" s="264"/>
    </row>
    <row r="182" spans="1:20" s="263" customFormat="1" ht="24" customHeight="1" x14ac:dyDescent="0.25">
      <c r="A182" s="252"/>
      <c r="B182" s="580"/>
      <c r="C182" s="537" t="s">
        <v>273</v>
      </c>
      <c r="D182" s="524"/>
      <c r="E182" s="265" t="s">
        <v>206</v>
      </c>
      <c r="F182" s="257" t="e">
        <f>#REF!</f>
        <v>#REF!</v>
      </c>
      <c r="G182" s="266">
        <v>15000</v>
      </c>
      <c r="H182" s="266" t="e">
        <f>F182*G182</f>
        <v>#REF!</v>
      </c>
      <c r="I182" s="271">
        <v>0.39</v>
      </c>
      <c r="J182" s="266">
        <f>ROUNDUP(G182*(100%+I182),-1)</f>
        <v>20850</v>
      </c>
      <c r="K182" s="266" t="e">
        <f>F182*J182</f>
        <v>#REF!</v>
      </c>
      <c r="L182" s="267" t="s">
        <v>413</v>
      </c>
      <c r="N182" s="264"/>
      <c r="Q182" s="264"/>
    </row>
    <row r="183" spans="1:20" s="209" customFormat="1" ht="20.100000000000001" customHeight="1" x14ac:dyDescent="0.25">
      <c r="A183" s="252" t="e">
        <f t="shared" si="31"/>
        <v>#REF!</v>
      </c>
      <c r="B183" s="580"/>
      <c r="C183" s="537" t="s">
        <v>312</v>
      </c>
      <c r="D183" s="524"/>
      <c r="E183" s="215" t="s">
        <v>206</v>
      </c>
      <c r="F183" s="257" t="e">
        <f>#REF!</f>
        <v>#REF!</v>
      </c>
      <c r="G183" s="217">
        <v>15000</v>
      </c>
      <c r="H183" s="217" t="e">
        <f t="shared" ref="H183:H206" si="32">F183*G183</f>
        <v>#REF!</v>
      </c>
      <c r="I183" s="239">
        <v>0.39</v>
      </c>
      <c r="J183" s="217">
        <f t="shared" ref="J183:J195" si="33">ROUNDUP(G183*(100%+I183),-1)</f>
        <v>20850</v>
      </c>
      <c r="K183" s="217" t="e">
        <f t="shared" ref="K183:K206" si="34">F183*J183</f>
        <v>#REF!</v>
      </c>
      <c r="L183" s="218" t="s">
        <v>313</v>
      </c>
      <c r="N183" s="212"/>
      <c r="Q183" s="212"/>
    </row>
    <row r="184" spans="1:20" s="263" customFormat="1" ht="20.100000000000001" customHeight="1" x14ac:dyDescent="0.25">
      <c r="A184" s="252"/>
      <c r="B184" s="580"/>
      <c r="C184" s="537" t="s">
        <v>312</v>
      </c>
      <c r="D184" s="524"/>
      <c r="E184" s="265" t="s">
        <v>206</v>
      </c>
      <c r="F184" s="280" t="e">
        <f>#REF!</f>
        <v>#REF!</v>
      </c>
      <c r="G184" s="266">
        <v>15000</v>
      </c>
      <c r="H184" s="266" t="e">
        <f>F184*G184</f>
        <v>#REF!</v>
      </c>
      <c r="I184" s="271">
        <v>0.39</v>
      </c>
      <c r="J184" s="266">
        <f>ROUNDUP(G184*(100%+I184),-1)</f>
        <v>20850</v>
      </c>
      <c r="K184" s="266" t="e">
        <f>F184*J184</f>
        <v>#REF!</v>
      </c>
      <c r="L184" s="284" t="s">
        <v>416</v>
      </c>
      <c r="M184" s="323" t="s">
        <v>444</v>
      </c>
      <c r="N184" s="264"/>
      <c r="Q184" s="264"/>
    </row>
    <row r="185" spans="1:20" s="209" customFormat="1" ht="19.5" customHeight="1" x14ac:dyDescent="0.25">
      <c r="A185" s="252" t="e">
        <f t="shared" si="31"/>
        <v>#REF!</v>
      </c>
      <c r="B185" s="580"/>
      <c r="C185" s="537" t="s">
        <v>273</v>
      </c>
      <c r="D185" s="524"/>
      <c r="E185" s="215" t="s">
        <v>206</v>
      </c>
      <c r="F185" s="257" t="e">
        <f>#REF!</f>
        <v>#REF!</v>
      </c>
      <c r="G185" s="217">
        <v>15000</v>
      </c>
      <c r="H185" s="217" t="e">
        <f t="shared" si="32"/>
        <v>#REF!</v>
      </c>
      <c r="I185" s="239">
        <v>0.5</v>
      </c>
      <c r="J185" s="217">
        <f t="shared" si="33"/>
        <v>22500</v>
      </c>
      <c r="K185" s="217" t="e">
        <f t="shared" si="34"/>
        <v>#REF!</v>
      </c>
      <c r="L185" s="284" t="s">
        <v>415</v>
      </c>
      <c r="N185" s="212"/>
      <c r="Q185" s="212"/>
    </row>
    <row r="186" spans="1:20" s="209" customFormat="1" ht="20.100000000000001" customHeight="1" x14ac:dyDescent="0.25">
      <c r="A186" s="252" t="e">
        <f t="shared" si="31"/>
        <v>#REF!</v>
      </c>
      <c r="B186" s="580"/>
      <c r="C186" s="537" t="s">
        <v>273</v>
      </c>
      <c r="D186" s="524"/>
      <c r="E186" s="215" t="s">
        <v>206</v>
      </c>
      <c r="F186" s="257" t="e">
        <f>#REF!</f>
        <v>#REF!</v>
      </c>
      <c r="G186" s="217">
        <v>15000</v>
      </c>
      <c r="H186" s="217" t="e">
        <f t="shared" si="32"/>
        <v>#REF!</v>
      </c>
      <c r="I186" s="239">
        <v>0.5</v>
      </c>
      <c r="J186" s="217">
        <f t="shared" si="33"/>
        <v>22500</v>
      </c>
      <c r="K186" s="217" t="e">
        <f t="shared" si="34"/>
        <v>#REF!</v>
      </c>
      <c r="L186" s="218" t="s">
        <v>314</v>
      </c>
      <c r="N186" s="212"/>
      <c r="Q186" s="212"/>
    </row>
    <row r="187" spans="1:20" s="209" customFormat="1" ht="20.100000000000001" customHeight="1" x14ac:dyDescent="0.25">
      <c r="A187" s="252" t="e">
        <f t="shared" si="31"/>
        <v>#REF!</v>
      </c>
      <c r="B187" s="580"/>
      <c r="C187" s="537" t="s">
        <v>273</v>
      </c>
      <c r="D187" s="524"/>
      <c r="E187" s="215" t="s">
        <v>206</v>
      </c>
      <c r="F187" s="257" t="e">
        <f>#REF!</f>
        <v>#REF!</v>
      </c>
      <c r="G187" s="217">
        <v>15000</v>
      </c>
      <c r="H187" s="217" t="e">
        <f t="shared" si="32"/>
        <v>#REF!</v>
      </c>
      <c r="I187" s="239">
        <v>0.5</v>
      </c>
      <c r="J187" s="217">
        <f t="shared" si="33"/>
        <v>22500</v>
      </c>
      <c r="K187" s="217" t="e">
        <f t="shared" si="34"/>
        <v>#REF!</v>
      </c>
      <c r="L187" s="218" t="s">
        <v>315</v>
      </c>
      <c r="N187" s="212"/>
      <c r="Q187" s="212"/>
    </row>
    <row r="188" spans="1:20" s="209" customFormat="1" ht="20.100000000000001" customHeight="1" thickBot="1" x14ac:dyDescent="0.3">
      <c r="A188" s="252" t="e">
        <f t="shared" si="31"/>
        <v>#REF!</v>
      </c>
      <c r="B188" s="580"/>
      <c r="C188" s="537" t="s">
        <v>316</v>
      </c>
      <c r="D188" s="524"/>
      <c r="E188" s="215" t="s">
        <v>206</v>
      </c>
      <c r="F188" s="257" t="e">
        <f>#REF!</f>
        <v>#REF!</v>
      </c>
      <c r="G188" s="217">
        <v>15000</v>
      </c>
      <c r="H188" s="217" t="e">
        <f t="shared" si="32"/>
        <v>#REF!</v>
      </c>
      <c r="I188" s="239">
        <v>0.5</v>
      </c>
      <c r="J188" s="217">
        <f t="shared" si="33"/>
        <v>22500</v>
      </c>
      <c r="K188" s="217" t="e">
        <f t="shared" si="34"/>
        <v>#REF!</v>
      </c>
      <c r="L188" s="218" t="s">
        <v>317</v>
      </c>
      <c r="N188" s="212"/>
      <c r="Q188" s="212"/>
    </row>
    <row r="189" spans="1:20" s="209" customFormat="1" ht="20.100000000000001" customHeight="1" thickBot="1" x14ac:dyDescent="0.3">
      <c r="A189" s="252" t="e">
        <f t="shared" si="31"/>
        <v>#REF!</v>
      </c>
      <c r="B189" s="580"/>
      <c r="C189" s="537" t="s">
        <v>316</v>
      </c>
      <c r="D189" s="524"/>
      <c r="E189" s="215" t="s">
        <v>206</v>
      </c>
      <c r="F189" s="257" t="e">
        <f>#REF!</f>
        <v>#REF!</v>
      </c>
      <c r="G189" s="217">
        <v>15000</v>
      </c>
      <c r="H189" s="217" t="e">
        <f t="shared" si="32"/>
        <v>#REF!</v>
      </c>
      <c r="I189" s="239">
        <v>0.5</v>
      </c>
      <c r="J189" s="217">
        <f t="shared" si="33"/>
        <v>22500</v>
      </c>
      <c r="K189" s="217" t="e">
        <f t="shared" si="34"/>
        <v>#REF!</v>
      </c>
      <c r="L189" s="286" t="s">
        <v>318</v>
      </c>
      <c r="M189" s="593" t="s">
        <v>417</v>
      </c>
      <c r="N189" s="594"/>
      <c r="O189" s="596" t="s">
        <v>419</v>
      </c>
      <c r="P189" s="597"/>
      <c r="Q189" s="593" t="s">
        <v>130</v>
      </c>
      <c r="R189" s="594"/>
      <c r="S189" s="593" t="s">
        <v>418</v>
      </c>
      <c r="T189" s="594"/>
    </row>
    <row r="190" spans="1:20" s="209" customFormat="1" ht="20.100000000000001" customHeight="1" thickBot="1" x14ac:dyDescent="0.3">
      <c r="A190" s="252" t="e">
        <f t="shared" si="31"/>
        <v>#REF!</v>
      </c>
      <c r="B190" s="580"/>
      <c r="C190" s="537" t="s">
        <v>319</v>
      </c>
      <c r="D190" s="524"/>
      <c r="E190" s="265" t="s">
        <v>10</v>
      </c>
      <c r="F190" s="255" t="e">
        <f>#REF!/1.25/2.5*1.1</f>
        <v>#REF!</v>
      </c>
      <c r="G190" s="217">
        <v>720</v>
      </c>
      <c r="H190" s="217" t="e">
        <f t="shared" si="32"/>
        <v>#REF!</v>
      </c>
      <c r="I190" s="239">
        <v>0.2</v>
      </c>
      <c r="J190" s="217">
        <f t="shared" si="33"/>
        <v>870</v>
      </c>
      <c r="K190" s="217" t="e">
        <f t="shared" si="34"/>
        <v>#REF!</v>
      </c>
      <c r="L190" s="286"/>
      <c r="M190" s="295" t="s">
        <v>424</v>
      </c>
      <c r="N190" s="296" t="s">
        <v>425</v>
      </c>
      <c r="O190" s="295" t="s">
        <v>424</v>
      </c>
      <c r="P190" s="296" t="s">
        <v>425</v>
      </c>
      <c r="Q190" s="295" t="s">
        <v>424</v>
      </c>
      <c r="R190" s="296" t="s">
        <v>425</v>
      </c>
      <c r="S190" s="295" t="s">
        <v>424</v>
      </c>
      <c r="T190" s="296" t="s">
        <v>425</v>
      </c>
    </row>
    <row r="191" spans="1:20" s="209" customFormat="1" ht="20.100000000000001" customHeight="1" x14ac:dyDescent="0.25">
      <c r="A191" s="252" t="b">
        <f t="shared" si="31"/>
        <v>1</v>
      </c>
      <c r="B191" s="580"/>
      <c r="C191" s="573" t="s">
        <v>417</v>
      </c>
      <c r="D191" s="532"/>
      <c r="E191" s="215" t="s">
        <v>221</v>
      </c>
      <c r="F191" s="279">
        <v>1</v>
      </c>
      <c r="G191" s="278">
        <v>406116</v>
      </c>
      <c r="H191" s="217">
        <f t="shared" si="32"/>
        <v>406116</v>
      </c>
      <c r="I191" s="220">
        <v>0.3</v>
      </c>
      <c r="J191" s="217">
        <f>ROUNDUP(G191*(100%+I191),0)</f>
        <v>527951</v>
      </c>
      <c r="K191" s="217">
        <f t="shared" si="34"/>
        <v>527951</v>
      </c>
      <c r="L191" s="287" t="s">
        <v>320</v>
      </c>
      <c r="M191" s="293">
        <v>880</v>
      </c>
      <c r="N191" s="294">
        <v>1040</v>
      </c>
      <c r="O191" s="293">
        <v>450</v>
      </c>
      <c r="P191" s="294">
        <v>580</v>
      </c>
      <c r="Q191" s="293">
        <v>580</v>
      </c>
      <c r="R191" s="294">
        <v>880</v>
      </c>
      <c r="S191" s="293">
        <v>0</v>
      </c>
      <c r="T191" s="294">
        <v>860</v>
      </c>
    </row>
    <row r="192" spans="1:20" s="263" customFormat="1" ht="20.100000000000001" customHeight="1" thickBot="1" x14ac:dyDescent="0.3">
      <c r="A192" s="252"/>
      <c r="B192" s="580"/>
      <c r="C192" s="548" t="s">
        <v>428</v>
      </c>
      <c r="D192" s="549"/>
      <c r="E192" s="265" t="s">
        <v>193</v>
      </c>
      <c r="F192" s="269" t="e">
        <f>F150</f>
        <v>#REF!</v>
      </c>
      <c r="G192" s="266">
        <v>100</v>
      </c>
      <c r="H192" s="266" t="e">
        <f>F192*G192</f>
        <v>#REF!</v>
      </c>
      <c r="I192" s="271">
        <v>0.2</v>
      </c>
      <c r="J192" s="266">
        <f>ROUNDUP(G192*(100%+I192),-1)</f>
        <v>120</v>
      </c>
      <c r="K192" s="266" t="e">
        <f>F192*J192</f>
        <v>#REF!</v>
      </c>
      <c r="L192" s="285" t="s">
        <v>410</v>
      </c>
      <c r="M192" s="297" t="e">
        <f t="shared" ref="M192:T192" si="35">M193*M191</f>
        <v>#REF!</v>
      </c>
      <c r="N192" s="298" t="e">
        <f t="shared" si="35"/>
        <v>#REF!</v>
      </c>
      <c r="O192" s="297" t="e">
        <f t="shared" si="35"/>
        <v>#REF!</v>
      </c>
      <c r="P192" s="298" t="e">
        <f t="shared" si="35"/>
        <v>#REF!</v>
      </c>
      <c r="Q192" s="297" t="e">
        <f t="shared" si="35"/>
        <v>#REF!</v>
      </c>
      <c r="R192" s="298" t="e">
        <f t="shared" si="35"/>
        <v>#REF!</v>
      </c>
      <c r="S192" s="297" t="e">
        <f t="shared" si="35"/>
        <v>#REF!</v>
      </c>
      <c r="T192" s="298" t="e">
        <f t="shared" si="35"/>
        <v>#REF!</v>
      </c>
    </row>
    <row r="193" spans="1:20" s="263" customFormat="1" ht="20.100000000000001" customHeight="1" x14ac:dyDescent="0.25">
      <c r="A193" s="252"/>
      <c r="B193" s="580"/>
      <c r="C193" s="548" t="s">
        <v>429</v>
      </c>
      <c r="D193" s="549"/>
      <c r="E193" s="265" t="s">
        <v>193</v>
      </c>
      <c r="F193" s="279"/>
      <c r="G193" s="266">
        <v>380</v>
      </c>
      <c r="H193" s="266">
        <f>F193*G193</f>
        <v>0</v>
      </c>
      <c r="I193" s="271">
        <v>0.2</v>
      </c>
      <c r="J193" s="266">
        <f>ROUNDUP(G193*(100%+I193),-1)</f>
        <v>460</v>
      </c>
      <c r="K193" s="266">
        <f>F193*J193</f>
        <v>0</v>
      </c>
      <c r="L193" s="285" t="s">
        <v>426</v>
      </c>
      <c r="M193" s="318" t="e">
        <f>#REF!</f>
        <v>#REF!</v>
      </c>
      <c r="N193" s="319" t="e">
        <f>M193</f>
        <v>#REF!</v>
      </c>
      <c r="O193" s="318" t="e">
        <f>M193</f>
        <v>#REF!</v>
      </c>
      <c r="P193" s="320" t="e">
        <f>M193</f>
        <v>#REF!</v>
      </c>
      <c r="Q193" s="321" t="e">
        <f>M193</f>
        <v>#REF!</v>
      </c>
      <c r="R193" s="320" t="e">
        <f>M193</f>
        <v>#REF!</v>
      </c>
      <c r="S193" s="318" t="e">
        <f>M193</f>
        <v>#REF!</v>
      </c>
      <c r="T193" s="320" t="e">
        <f>M193</f>
        <v>#REF!</v>
      </c>
    </row>
    <row r="194" spans="1:20" s="209" customFormat="1" ht="20.100000000000001" customHeight="1" x14ac:dyDescent="0.25">
      <c r="A194" s="252" t="e">
        <f t="shared" si="31"/>
        <v>#REF!</v>
      </c>
      <c r="B194" s="580"/>
      <c r="C194" s="537" t="s">
        <v>321</v>
      </c>
      <c r="D194" s="524"/>
      <c r="E194" s="215" t="s">
        <v>217</v>
      </c>
      <c r="F194" s="217" t="e">
        <f>ROUNDUP(F169/30*1.12,0)</f>
        <v>#REF!</v>
      </c>
      <c r="G194" s="217">
        <v>1400</v>
      </c>
      <c r="H194" s="217" t="e">
        <f>F194*G194</f>
        <v>#REF!</v>
      </c>
      <c r="I194" s="239">
        <v>0.5</v>
      </c>
      <c r="J194" s="217">
        <f>ROUNDUP(G194*(100%+I194),-1)</f>
        <v>2100</v>
      </c>
      <c r="K194" s="217" t="e">
        <f>F194*J194</f>
        <v>#REF!</v>
      </c>
      <c r="L194" s="286"/>
    </row>
    <row r="195" spans="1:20" s="209" customFormat="1" ht="46.5" customHeight="1" x14ac:dyDescent="0.25">
      <c r="A195" s="252" t="e">
        <f t="shared" si="31"/>
        <v>#REF!</v>
      </c>
      <c r="B195" s="580"/>
      <c r="C195" s="591" t="s">
        <v>322</v>
      </c>
      <c r="D195" s="592"/>
      <c r="E195" s="224" t="s">
        <v>10</v>
      </c>
      <c r="F195" s="254" t="e">
        <f>#REF!</f>
        <v>#REF!</v>
      </c>
      <c r="G195" s="278">
        <v>27960</v>
      </c>
      <c r="H195" s="217" t="e">
        <f t="shared" si="32"/>
        <v>#REF!</v>
      </c>
      <c r="I195" s="220">
        <v>0.3</v>
      </c>
      <c r="J195" s="217">
        <f t="shared" si="33"/>
        <v>36350</v>
      </c>
      <c r="K195" s="217" t="e">
        <f t="shared" si="34"/>
        <v>#REF!</v>
      </c>
      <c r="L195" s="218"/>
      <c r="N195" s="212"/>
      <c r="Q195" s="212"/>
    </row>
    <row r="196" spans="1:20" s="209" customFormat="1" ht="20.100000000000001" customHeight="1" x14ac:dyDescent="0.25">
      <c r="A196" s="252" t="e">
        <f t="shared" si="31"/>
        <v>#REF!</v>
      </c>
      <c r="B196" s="580"/>
      <c r="C196" s="537" t="s">
        <v>323</v>
      </c>
      <c r="D196" s="524"/>
      <c r="E196" s="215" t="s">
        <v>217</v>
      </c>
      <c r="F196" s="255" t="e">
        <f>#REF!+#REF!</f>
        <v>#REF!</v>
      </c>
      <c r="G196" s="217">
        <v>8350</v>
      </c>
      <c r="H196" s="217" t="e">
        <f t="shared" si="32"/>
        <v>#REF!</v>
      </c>
      <c r="I196" s="220">
        <v>0.18</v>
      </c>
      <c r="J196" s="217">
        <f>ROUNDUP(G196*(100%+I196),0)</f>
        <v>9853</v>
      </c>
      <c r="K196" s="217" t="e">
        <f t="shared" si="34"/>
        <v>#REF!</v>
      </c>
      <c r="L196" s="218"/>
      <c r="N196" s="212"/>
      <c r="Q196" s="212"/>
    </row>
    <row r="197" spans="1:20" s="209" customFormat="1" ht="20.100000000000001" customHeight="1" x14ac:dyDescent="0.25">
      <c r="A197" s="252" t="e">
        <f t="shared" si="31"/>
        <v>#REF!</v>
      </c>
      <c r="B197" s="580"/>
      <c r="C197" s="537" t="s">
        <v>324</v>
      </c>
      <c r="D197" s="524"/>
      <c r="E197" s="215" t="s">
        <v>206</v>
      </c>
      <c r="F197" s="255" t="e">
        <f>_xlfn.CEILING.MATH(SUM(#REF!)+#REF!+#REF!)</f>
        <v>#REF!</v>
      </c>
      <c r="G197" s="217">
        <v>1850</v>
      </c>
      <c r="H197" s="217" t="e">
        <f t="shared" si="32"/>
        <v>#REF!</v>
      </c>
      <c r="I197" s="220">
        <v>0.22</v>
      </c>
      <c r="J197" s="217">
        <f>ROUNDUP(G197*(100%+I197),-1)</f>
        <v>2260</v>
      </c>
      <c r="K197" s="217" t="e">
        <f t="shared" si="34"/>
        <v>#REF!</v>
      </c>
      <c r="L197" s="218"/>
      <c r="N197" s="212"/>
      <c r="Q197" s="212"/>
    </row>
    <row r="198" spans="1:20" s="209" customFormat="1" ht="20.100000000000001" customHeight="1" x14ac:dyDescent="0.25">
      <c r="A198" s="252" t="e">
        <f t="shared" si="31"/>
        <v>#REF!</v>
      </c>
      <c r="B198" s="580"/>
      <c r="C198" s="537" t="s">
        <v>325</v>
      </c>
      <c r="D198" s="524"/>
      <c r="E198" s="215" t="s">
        <v>217</v>
      </c>
      <c r="F198" s="255" t="e">
        <f>#REF!+#REF!</f>
        <v>#REF!</v>
      </c>
      <c r="G198" s="217">
        <v>5700</v>
      </c>
      <c r="H198" s="217" t="e">
        <f t="shared" si="32"/>
        <v>#REF!</v>
      </c>
      <c r="I198" s="220">
        <v>0.33</v>
      </c>
      <c r="J198" s="217">
        <f>ROUNDUP(G198*(100%+I198),-2)</f>
        <v>7600</v>
      </c>
      <c r="K198" s="217" t="e">
        <f t="shared" si="34"/>
        <v>#REF!</v>
      </c>
      <c r="L198" s="218"/>
      <c r="N198" s="212"/>
      <c r="Q198" s="212"/>
    </row>
    <row r="199" spans="1:20" s="209" customFormat="1" ht="20.100000000000001" customHeight="1" x14ac:dyDescent="0.25">
      <c r="A199" s="252" t="e">
        <f t="shared" si="31"/>
        <v>#REF!</v>
      </c>
      <c r="B199" s="580"/>
      <c r="C199" s="537" t="s">
        <v>326</v>
      </c>
      <c r="D199" s="524"/>
      <c r="E199" s="215" t="s">
        <v>10</v>
      </c>
      <c r="F199" s="266" t="e">
        <f>F198*5</f>
        <v>#REF!</v>
      </c>
      <c r="G199" s="217">
        <v>1110</v>
      </c>
      <c r="H199" s="217" t="e">
        <f t="shared" si="32"/>
        <v>#REF!</v>
      </c>
      <c r="I199" s="220">
        <v>0.2</v>
      </c>
      <c r="J199" s="217">
        <f>ROUNDUP(G199*(100%+I199),-1)</f>
        <v>1340</v>
      </c>
      <c r="K199" s="217" t="e">
        <f t="shared" si="34"/>
        <v>#REF!</v>
      </c>
      <c r="L199" s="218"/>
      <c r="N199" s="212"/>
      <c r="Q199" s="212"/>
    </row>
    <row r="200" spans="1:20" s="209" customFormat="1" ht="20.100000000000001" customHeight="1" x14ac:dyDescent="0.25">
      <c r="A200" s="252" t="e">
        <f t="shared" si="31"/>
        <v>#REF!</v>
      </c>
      <c r="B200" s="580"/>
      <c r="C200" s="537" t="s">
        <v>327</v>
      </c>
      <c r="D200" s="524"/>
      <c r="E200" s="215" t="s">
        <v>10</v>
      </c>
      <c r="F200" s="217" t="e">
        <f>ROUNDUP(F160/10*1.15,0)</f>
        <v>#REF!</v>
      </c>
      <c r="G200" s="217">
        <v>1600</v>
      </c>
      <c r="H200" s="217" t="e">
        <f t="shared" si="32"/>
        <v>#REF!</v>
      </c>
      <c r="I200" s="220">
        <v>0.2</v>
      </c>
      <c r="J200" s="217">
        <f>ROUNDUP(G200*(100%+I200),-1)</f>
        <v>1920</v>
      </c>
      <c r="K200" s="217" t="e">
        <f t="shared" si="34"/>
        <v>#REF!</v>
      </c>
      <c r="L200" s="218"/>
      <c r="N200" s="212"/>
      <c r="Q200" s="212"/>
    </row>
    <row r="201" spans="1:20" s="209" customFormat="1" ht="20.100000000000001" customHeight="1" thickBot="1" x14ac:dyDescent="0.3">
      <c r="A201" s="252" t="e">
        <f t="shared" si="31"/>
        <v>#REF!</v>
      </c>
      <c r="B201" s="580"/>
      <c r="C201" s="537" t="s">
        <v>328</v>
      </c>
      <c r="D201" s="524"/>
      <c r="E201" s="215" t="s">
        <v>10</v>
      </c>
      <c r="F201" s="255" t="e">
        <f>#REF!</f>
        <v>#REF!</v>
      </c>
      <c r="G201" s="217">
        <v>830</v>
      </c>
      <c r="H201" s="217" t="e">
        <f t="shared" si="32"/>
        <v>#REF!</v>
      </c>
      <c r="I201" s="220">
        <v>0.2</v>
      </c>
      <c r="J201" s="217">
        <f>ROUNDUP(G201*(100%+I201),-1)</f>
        <v>1000</v>
      </c>
      <c r="K201" s="217" t="e">
        <f t="shared" si="34"/>
        <v>#REF!</v>
      </c>
      <c r="L201" s="218"/>
      <c r="N201" s="212"/>
      <c r="Q201" s="212"/>
    </row>
    <row r="202" spans="1:20" s="209" customFormat="1" ht="20.100000000000001" customHeight="1" x14ac:dyDescent="0.25">
      <c r="A202" s="252" t="e">
        <f t="shared" si="31"/>
        <v>#REF!</v>
      </c>
      <c r="B202" s="580"/>
      <c r="C202" s="537" t="s">
        <v>329</v>
      </c>
      <c r="D202" s="524"/>
      <c r="E202" s="215" t="s">
        <v>330</v>
      </c>
      <c r="F202" s="217" t="e">
        <f>ROUNDUP((F173+F170)*0.1*1.1,0)</f>
        <v>#REF!</v>
      </c>
      <c r="G202" s="217">
        <v>700</v>
      </c>
      <c r="H202" s="217" t="e">
        <f t="shared" si="32"/>
        <v>#REF!</v>
      </c>
      <c r="I202" s="239">
        <v>0.21</v>
      </c>
      <c r="J202" s="217">
        <f>ROUNDUP(G202*(100%+I202),-1)</f>
        <v>850</v>
      </c>
      <c r="K202" s="217" t="e">
        <f t="shared" si="34"/>
        <v>#REF!</v>
      </c>
      <c r="L202" s="286"/>
      <c r="M202" s="568" t="s">
        <v>430</v>
      </c>
      <c r="N202" s="569"/>
      <c r="O202" s="568" t="s">
        <v>431</v>
      </c>
      <c r="P202" s="569"/>
      <c r="Q202" s="212"/>
    </row>
    <row r="203" spans="1:20" s="209" customFormat="1" ht="20.100000000000001" customHeight="1" thickBot="1" x14ac:dyDescent="0.3">
      <c r="A203" s="252" t="e">
        <f t="shared" si="31"/>
        <v>#REF!</v>
      </c>
      <c r="B203" s="580"/>
      <c r="C203" s="537" t="s">
        <v>331</v>
      </c>
      <c r="D203" s="524"/>
      <c r="E203" s="215" t="s">
        <v>330</v>
      </c>
      <c r="F203" s="217" t="e">
        <f>ROUNDUP((F174+F171)*0.22*1.1,0)</f>
        <v>#REF!</v>
      </c>
      <c r="G203" s="217">
        <v>850</v>
      </c>
      <c r="H203" s="217" t="e">
        <f t="shared" si="32"/>
        <v>#REF!</v>
      </c>
      <c r="I203" s="239">
        <v>0.23</v>
      </c>
      <c r="J203" s="217">
        <f>ROUNDUP(G203*(100%+I203),-1)</f>
        <v>1050</v>
      </c>
      <c r="K203" s="217" t="e">
        <f t="shared" si="34"/>
        <v>#REF!</v>
      </c>
      <c r="L203" s="286"/>
      <c r="M203" s="288" t="s">
        <v>432</v>
      </c>
      <c r="N203" s="302" t="s">
        <v>433</v>
      </c>
      <c r="O203" s="288" t="s">
        <v>432</v>
      </c>
      <c r="P203" s="302" t="s">
        <v>433</v>
      </c>
      <c r="Q203" s="212"/>
    </row>
    <row r="204" spans="1:20" s="209" customFormat="1" ht="20.100000000000001" customHeight="1" x14ac:dyDescent="0.25">
      <c r="A204" s="252" t="b">
        <f t="shared" si="31"/>
        <v>1</v>
      </c>
      <c r="B204" s="580"/>
      <c r="C204" s="548" t="s">
        <v>332</v>
      </c>
      <c r="D204" s="549"/>
      <c r="E204" s="215" t="s">
        <v>221</v>
      </c>
      <c r="F204" s="279">
        <v>1</v>
      </c>
      <c r="G204" s="278">
        <v>79340</v>
      </c>
      <c r="H204" s="217">
        <f t="shared" si="32"/>
        <v>79340</v>
      </c>
      <c r="I204" s="220">
        <v>0.3</v>
      </c>
      <c r="J204" s="217">
        <f>ROUNDUP(G204*(100%+I204),0)</f>
        <v>103142</v>
      </c>
      <c r="K204" s="217">
        <f t="shared" si="34"/>
        <v>103142</v>
      </c>
      <c r="L204" s="286"/>
      <c r="M204" s="300" t="e">
        <f>F176</f>
        <v>#REF!</v>
      </c>
      <c r="N204" s="301">
        <f>F177</f>
        <v>14</v>
      </c>
      <c r="O204" s="300" t="e">
        <f>F176</f>
        <v>#REF!</v>
      </c>
      <c r="P204" s="301">
        <f>F177</f>
        <v>14</v>
      </c>
      <c r="Q204" s="212"/>
    </row>
    <row r="205" spans="1:20" s="209" customFormat="1" ht="20.100000000000001" customHeight="1" thickBot="1" x14ac:dyDescent="0.3">
      <c r="A205" s="252" t="b">
        <f t="shared" si="31"/>
        <v>1</v>
      </c>
      <c r="B205" s="580"/>
      <c r="C205" s="537" t="s">
        <v>333</v>
      </c>
      <c r="D205" s="524"/>
      <c r="E205" s="215" t="s">
        <v>221</v>
      </c>
      <c r="F205" s="278">
        <v>3</v>
      </c>
      <c r="G205" s="217" t="e">
        <f>ROUNDUP((F153+F154+F155+F156)/100*4000,-3)</f>
        <v>#REF!</v>
      </c>
      <c r="H205" s="217" t="e">
        <f t="shared" si="32"/>
        <v>#REF!</v>
      </c>
      <c r="I205" s="239">
        <v>0.4</v>
      </c>
      <c r="J205" s="217" t="e">
        <f>ROUNDUP(G205*(100%+I205),-3)</f>
        <v>#REF!</v>
      </c>
      <c r="K205" s="217" t="e">
        <f t="shared" si="34"/>
        <v>#REF!</v>
      </c>
      <c r="L205" s="286"/>
      <c r="M205" s="288">
        <v>775</v>
      </c>
      <c r="N205" s="299">
        <v>3365</v>
      </c>
      <c r="O205" s="288">
        <v>550</v>
      </c>
      <c r="P205" s="289">
        <v>1100</v>
      </c>
      <c r="Q205" s="212"/>
    </row>
    <row r="206" spans="1:20" s="263" customFormat="1" ht="20.100000000000001" customHeight="1" thickBot="1" x14ac:dyDescent="0.3">
      <c r="A206" s="252"/>
      <c r="B206" s="580"/>
      <c r="C206" s="537" t="s">
        <v>278</v>
      </c>
      <c r="D206" s="524"/>
      <c r="E206" s="265" t="s">
        <v>206</v>
      </c>
      <c r="F206" s="254" t="e">
        <f>SUM(F180:F189)</f>
        <v>#REF!</v>
      </c>
      <c r="G206" s="266">
        <v>500</v>
      </c>
      <c r="H206" s="266" t="e">
        <f t="shared" si="32"/>
        <v>#REF!</v>
      </c>
      <c r="I206" s="271">
        <v>1</v>
      </c>
      <c r="J206" s="266">
        <f>ROUNDUP(G206*(100%+I206),-1)</f>
        <v>1000</v>
      </c>
      <c r="K206" s="266" t="e">
        <f t="shared" si="34"/>
        <v>#REF!</v>
      </c>
      <c r="L206" s="267"/>
      <c r="N206" s="303" t="e">
        <f>(M204*M205)+(N204*N205)</f>
        <v>#REF!</v>
      </c>
      <c r="P206" s="303" t="e">
        <f>(O204*O205)+(P204*P205)</f>
        <v>#REF!</v>
      </c>
      <c r="Q206" s="264"/>
    </row>
    <row r="207" spans="1:20" s="263" customFormat="1" ht="20.100000000000001" customHeight="1" x14ac:dyDescent="0.25">
      <c r="A207" s="208" t="e">
        <f>OR(A208:A218)</f>
        <v>#REF!</v>
      </c>
      <c r="B207" s="580"/>
      <c r="C207" s="551" t="s">
        <v>471</v>
      </c>
      <c r="D207" s="552"/>
      <c r="E207" s="265"/>
      <c r="F207" s="266"/>
      <c r="G207" s="266"/>
      <c r="H207" s="353" t="e">
        <f>SUM(H180:H206)</f>
        <v>#REF!</v>
      </c>
      <c r="I207" s="266"/>
      <c r="J207" s="266"/>
      <c r="K207" s="353" t="e">
        <f>SUM(K180:K206)</f>
        <v>#REF!</v>
      </c>
      <c r="L207" s="267"/>
      <c r="N207" s="264"/>
      <c r="Q207" s="264"/>
    </row>
    <row r="208" spans="1:20" s="209" customFormat="1" ht="20.100000000000001" customHeight="1" x14ac:dyDescent="0.25">
      <c r="A208" s="252"/>
      <c r="B208" s="580"/>
      <c r="C208" s="550" t="s">
        <v>231</v>
      </c>
      <c r="D208" s="536"/>
      <c r="E208" s="215"/>
      <c r="F208" s="217"/>
      <c r="G208" s="217"/>
      <c r="H208" s="217"/>
      <c r="I208" s="217"/>
      <c r="J208" s="217"/>
      <c r="K208" s="217"/>
      <c r="L208" s="218"/>
      <c r="N208" s="212"/>
      <c r="Q208" s="212"/>
    </row>
    <row r="209" spans="1:20" s="209" customFormat="1" ht="20.100000000000001" customHeight="1" x14ac:dyDescent="0.25">
      <c r="A209" s="252" t="b">
        <f t="shared" si="31"/>
        <v>1</v>
      </c>
      <c r="B209" s="580"/>
      <c r="C209" s="537" t="s">
        <v>246</v>
      </c>
      <c r="D209" s="524"/>
      <c r="E209" s="215" t="s">
        <v>247</v>
      </c>
      <c r="F209" s="231">
        <v>0.1</v>
      </c>
      <c r="G209" s="217"/>
      <c r="H209" s="217" t="e">
        <f>ROUNDUP(SUM(K144:K177)*F209,0)</f>
        <v>#REF!</v>
      </c>
      <c r="I209" s="217"/>
      <c r="J209" s="217"/>
      <c r="K209" s="217" t="e">
        <f>H209</f>
        <v>#REF!</v>
      </c>
      <c r="L209" s="218"/>
      <c r="N209" s="212"/>
      <c r="Q209" s="212"/>
    </row>
    <row r="210" spans="1:20" s="209" customFormat="1" ht="20.100000000000001" customHeight="1" x14ac:dyDescent="0.25">
      <c r="A210" s="252" t="b">
        <f t="shared" si="31"/>
        <v>1</v>
      </c>
      <c r="B210" s="580"/>
      <c r="C210" s="537" t="s">
        <v>248</v>
      </c>
      <c r="D210" s="524"/>
      <c r="E210" s="215" t="s">
        <v>247</v>
      </c>
      <c r="F210" s="231">
        <v>0.06</v>
      </c>
      <c r="G210" s="217"/>
      <c r="H210" s="217" t="e">
        <f>ROUNDUP(SUM(K180:K206)*F210,0)</f>
        <v>#REF!</v>
      </c>
      <c r="I210" s="217"/>
      <c r="J210" s="217"/>
      <c r="K210" s="217" t="e">
        <f>H210</f>
        <v>#REF!</v>
      </c>
      <c r="L210" s="218"/>
      <c r="N210" s="212"/>
      <c r="Q210" s="212"/>
    </row>
    <row r="211" spans="1:20" s="209" customFormat="1" ht="20.100000000000001" customHeight="1" x14ac:dyDescent="0.25">
      <c r="A211" s="252"/>
      <c r="B211" s="580"/>
      <c r="C211" s="566" t="s">
        <v>334</v>
      </c>
      <c r="D211" s="567"/>
      <c r="E211" s="232"/>
      <c r="F211" s="233"/>
      <c r="G211" s="233"/>
      <c r="H211" s="234" t="e">
        <f>SUM(H209:H210)+H207+H178</f>
        <v>#REF!</v>
      </c>
      <c r="I211" s="233"/>
      <c r="J211" s="233"/>
      <c r="K211" s="234" t="e">
        <f>SUM(K209:K210)+K207+K178</f>
        <v>#REF!</v>
      </c>
      <c r="L211" s="235"/>
      <c r="N211" s="212"/>
      <c r="Q211" s="212"/>
    </row>
    <row r="212" spans="1:20" s="209" customFormat="1" ht="20.100000000000001" customHeight="1" x14ac:dyDescent="0.25">
      <c r="A212" s="252"/>
      <c r="B212" s="252"/>
      <c r="C212" s="539"/>
      <c r="D212" s="540"/>
      <c r="E212" s="540"/>
      <c r="F212" s="540"/>
      <c r="G212" s="540"/>
      <c r="H212" s="540"/>
      <c r="I212" s="540"/>
      <c r="J212" s="540"/>
      <c r="K212" s="540"/>
      <c r="L212" s="541"/>
      <c r="N212" s="212"/>
      <c r="Q212" s="212"/>
    </row>
    <row r="213" spans="1:20" s="209" customFormat="1" ht="20.100000000000001" customHeight="1" thickBot="1" x14ac:dyDescent="0.3">
      <c r="A213" s="252"/>
      <c r="B213" s="612" t="s">
        <v>454</v>
      </c>
      <c r="C213" s="572" t="s">
        <v>335</v>
      </c>
      <c r="D213" s="572"/>
      <c r="E213" s="572"/>
      <c r="F213" s="572"/>
      <c r="G213" s="572"/>
      <c r="H213" s="572"/>
      <c r="I213" s="572"/>
      <c r="J213" s="572"/>
      <c r="K213" s="572"/>
      <c r="L213" s="572"/>
      <c r="N213" s="212"/>
      <c r="Q213" s="212"/>
    </row>
    <row r="214" spans="1:20" s="209" customFormat="1" ht="20.100000000000001" customHeight="1" thickBot="1" x14ac:dyDescent="0.3">
      <c r="A214" s="252"/>
      <c r="B214" s="613"/>
      <c r="C214" s="581" t="s">
        <v>200</v>
      </c>
      <c r="D214" s="547"/>
      <c r="E214" s="236"/>
      <c r="F214" s="237"/>
      <c r="G214" s="237"/>
      <c r="H214" s="237"/>
      <c r="I214" s="237"/>
      <c r="J214" s="237"/>
      <c r="K214" s="237"/>
      <c r="L214" s="349"/>
      <c r="M214" s="586" t="s">
        <v>460</v>
      </c>
      <c r="N214" s="587"/>
      <c r="O214" s="588"/>
      <c r="Q214" s="212"/>
    </row>
    <row r="215" spans="1:20" s="209" customFormat="1" ht="27.75" customHeight="1" thickBot="1" x14ac:dyDescent="0.3">
      <c r="A215" s="252" t="b">
        <f t="shared" si="31"/>
        <v>1</v>
      </c>
      <c r="B215" s="613"/>
      <c r="C215" s="533" t="s">
        <v>336</v>
      </c>
      <c r="D215" s="534"/>
      <c r="E215" s="215" t="s">
        <v>221</v>
      </c>
      <c r="F215" s="255">
        <v>1</v>
      </c>
      <c r="G215" s="256" t="e">
        <f>N216</f>
        <v>#REF!</v>
      </c>
      <c r="H215" s="217" t="e">
        <f>F215*G215</f>
        <v>#REF!</v>
      </c>
      <c r="I215" s="220">
        <v>1.9</v>
      </c>
      <c r="J215" s="217" t="e">
        <f>ROUNDUP(G215*(100%+I215),-2)</f>
        <v>#REF!</v>
      </c>
      <c r="K215" s="217" t="e">
        <f>F215*J215</f>
        <v>#REF!</v>
      </c>
      <c r="L215" s="286"/>
      <c r="M215" s="346" t="s">
        <v>10</v>
      </c>
      <c r="N215" s="347" t="s">
        <v>459</v>
      </c>
      <c r="O215" s="348" t="s">
        <v>423</v>
      </c>
      <c r="Q215" s="212"/>
    </row>
    <row r="216" spans="1:20" s="209" customFormat="1" ht="30.75" customHeight="1" thickBot="1" x14ac:dyDescent="0.3">
      <c r="A216" s="252" t="b">
        <f t="shared" si="31"/>
        <v>1</v>
      </c>
      <c r="B216" s="613"/>
      <c r="C216" s="533" t="s">
        <v>337</v>
      </c>
      <c r="D216" s="534"/>
      <c r="E216" s="215" t="s">
        <v>221</v>
      </c>
      <c r="F216" s="255">
        <v>1</v>
      </c>
      <c r="G216" s="256" t="e">
        <f>O216</f>
        <v>#REF!</v>
      </c>
      <c r="H216" s="217" t="e">
        <f>F216*G216</f>
        <v>#REF!</v>
      </c>
      <c r="I216" s="220">
        <v>1.9</v>
      </c>
      <c r="J216" s="217" t="e">
        <f>ROUNDUP(G216*(100%+I216),-1)</f>
        <v>#REF!</v>
      </c>
      <c r="K216" s="217" t="e">
        <f>F216*J216</f>
        <v>#REF!</v>
      </c>
      <c r="L216" s="286"/>
      <c r="M216" s="343" t="e">
        <f>#REF!+#REF!</f>
        <v>#REF!</v>
      </c>
      <c r="N216" s="344" t="e">
        <f>M216*1200</f>
        <v>#REF!</v>
      </c>
      <c r="O216" s="345" t="e">
        <f>M216*1400</f>
        <v>#REF!</v>
      </c>
      <c r="Q216" s="212"/>
    </row>
    <row r="217" spans="1:20" s="209" customFormat="1" ht="20.100000000000001" customHeight="1" x14ac:dyDescent="0.25">
      <c r="A217" s="252" t="e">
        <f t="shared" si="31"/>
        <v>#REF!</v>
      </c>
      <c r="B217" s="613"/>
      <c r="C217" s="533" t="s">
        <v>338</v>
      </c>
      <c r="D217" s="534"/>
      <c r="E217" s="215" t="s">
        <v>10</v>
      </c>
      <c r="F217" s="217" t="e">
        <f>#REF!+#REF!</f>
        <v>#REF!</v>
      </c>
      <c r="G217" s="217">
        <f>'[2]Расценки рабочих'!D75</f>
        <v>250</v>
      </c>
      <c r="H217" s="217" t="e">
        <f>F217*G217</f>
        <v>#REF!</v>
      </c>
      <c r="I217" s="220">
        <v>1</v>
      </c>
      <c r="J217" s="217">
        <f>ROUNDUP(G217*(100%+I217),-1)</f>
        <v>500</v>
      </c>
      <c r="K217" s="217" t="e">
        <f>F217*J217</f>
        <v>#REF!</v>
      </c>
      <c r="L217" s="218"/>
      <c r="N217" s="212"/>
      <c r="Q217" s="212"/>
    </row>
    <row r="218" spans="1:20" s="209" customFormat="1" ht="20.100000000000001" customHeight="1" thickBot="1" x14ac:dyDescent="0.3">
      <c r="A218" s="252" t="e">
        <f t="shared" si="31"/>
        <v>#REF!</v>
      </c>
      <c r="B218" s="613"/>
      <c r="C218" s="537" t="s">
        <v>339</v>
      </c>
      <c r="D218" s="524"/>
      <c r="E218" s="215" t="s">
        <v>24</v>
      </c>
      <c r="F218" s="255" t="e">
        <f>#REF!</f>
        <v>#REF!</v>
      </c>
      <c r="G218" s="217">
        <f>'[2]Расценки рабочих'!D76</f>
        <v>100</v>
      </c>
      <c r="H218" s="217" t="e">
        <f>F218*G218</f>
        <v>#REF!</v>
      </c>
      <c r="I218" s="220">
        <v>1.2</v>
      </c>
      <c r="J218" s="217">
        <f>ROUNDUP(G218*(100%+I218),-1)</f>
        <v>220</v>
      </c>
      <c r="K218" s="217" t="e">
        <f>F218*J218</f>
        <v>#REF!</v>
      </c>
      <c r="L218" s="218"/>
      <c r="N218" s="212"/>
      <c r="Q218" s="212"/>
    </row>
    <row r="219" spans="1:20" s="209" customFormat="1" ht="20.100000000000001" customHeight="1" thickBot="1" x14ac:dyDescent="0.3">
      <c r="A219" s="252" t="e">
        <f t="shared" si="31"/>
        <v>#REF!</v>
      </c>
      <c r="B219" s="613"/>
      <c r="C219" s="537" t="s">
        <v>340</v>
      </c>
      <c r="D219" s="524"/>
      <c r="E219" s="215" t="s">
        <v>10</v>
      </c>
      <c r="F219" s="255" t="e">
        <f>#REF!</f>
        <v>#REF!</v>
      </c>
      <c r="G219" s="217">
        <v>1500</v>
      </c>
      <c r="H219" s="217" t="e">
        <f>F219*G219</f>
        <v>#REF!</v>
      </c>
      <c r="I219" s="220">
        <v>2</v>
      </c>
      <c r="J219" s="217">
        <f>ROUNDUP(G219*(100%+I219),-1)</f>
        <v>4500</v>
      </c>
      <c r="K219" s="217" t="e">
        <f>F219*J219</f>
        <v>#REF!</v>
      </c>
      <c r="L219" s="218"/>
      <c r="M219" s="586" t="s">
        <v>461</v>
      </c>
      <c r="N219" s="587"/>
      <c r="O219" s="588"/>
      <c r="Q219" s="212"/>
    </row>
    <row r="220" spans="1:20" s="263" customFormat="1" ht="20.100000000000001" customHeight="1" thickBot="1" x14ac:dyDescent="0.3">
      <c r="A220" s="208" t="e">
        <f>OR(A221:A231)</f>
        <v>#REF!</v>
      </c>
      <c r="B220" s="613"/>
      <c r="C220" s="551" t="s">
        <v>470</v>
      </c>
      <c r="D220" s="552"/>
      <c r="E220" s="265"/>
      <c r="F220" s="266"/>
      <c r="G220" s="266"/>
      <c r="H220" s="353" t="e">
        <f>SUM(H215:H219)</f>
        <v>#REF!</v>
      </c>
      <c r="I220" s="266"/>
      <c r="J220" s="266"/>
      <c r="K220" s="353" t="e">
        <f>SUM(K215:K219)</f>
        <v>#REF!</v>
      </c>
      <c r="L220" s="267"/>
      <c r="N220" s="264"/>
      <c r="Q220" s="264"/>
    </row>
    <row r="221" spans="1:20" s="209" customFormat="1" ht="20.100000000000001" customHeight="1" thickBot="1" x14ac:dyDescent="0.3">
      <c r="A221" s="252"/>
      <c r="B221" s="613"/>
      <c r="C221" s="550" t="s">
        <v>215</v>
      </c>
      <c r="D221" s="536"/>
      <c r="E221" s="215"/>
      <c r="F221" s="217"/>
      <c r="G221" s="217"/>
      <c r="H221" s="217"/>
      <c r="I221" s="217"/>
      <c r="J221" s="217"/>
      <c r="K221" s="217"/>
      <c r="L221" s="286"/>
      <c r="M221" s="340" t="e">
        <f>#REF!+#REF!</f>
        <v>#REF!</v>
      </c>
      <c r="N221" s="339" t="s">
        <v>420</v>
      </c>
      <c r="O221" s="570" t="s">
        <v>421</v>
      </c>
      <c r="P221" s="571"/>
      <c r="Q221" s="570" t="s">
        <v>422</v>
      </c>
      <c r="R221" s="571"/>
      <c r="S221" s="595" t="s">
        <v>423</v>
      </c>
      <c r="T221" s="571"/>
    </row>
    <row r="222" spans="1:20" s="209" customFormat="1" ht="33.75" customHeight="1" thickBot="1" x14ac:dyDescent="0.3">
      <c r="A222" s="252" t="b">
        <f t="shared" si="31"/>
        <v>1</v>
      </c>
      <c r="B222" s="613"/>
      <c r="C222" s="573" t="s">
        <v>341</v>
      </c>
      <c r="D222" s="532"/>
      <c r="E222" s="224" t="s">
        <v>221</v>
      </c>
      <c r="F222" s="255">
        <v>1</v>
      </c>
      <c r="G222" s="256">
        <v>5000</v>
      </c>
      <c r="H222" s="217">
        <f>F222*G222</f>
        <v>5000</v>
      </c>
      <c r="I222" s="220">
        <v>0.3</v>
      </c>
      <c r="J222" s="217">
        <f>ROUNDUP(G222*(100%+I222),0)</f>
        <v>6500</v>
      </c>
      <c r="K222" s="217">
        <f>F222*J222</f>
        <v>6500</v>
      </c>
      <c r="L222" s="287" t="s">
        <v>342</v>
      </c>
      <c r="M222" s="339">
        <v>5000</v>
      </c>
      <c r="N222" s="341" t="e">
        <f>M222*M221</f>
        <v>#REF!</v>
      </c>
      <c r="O222" s="339">
        <v>5900</v>
      </c>
      <c r="P222" s="342" t="e">
        <f>O222*M221</f>
        <v>#REF!</v>
      </c>
      <c r="Q222" s="338">
        <v>7960</v>
      </c>
      <c r="R222" s="342" t="e">
        <f>Q222*M221</f>
        <v>#REF!</v>
      </c>
      <c r="S222" s="291">
        <v>13622</v>
      </c>
      <c r="T222" s="342" t="e">
        <f>S222*M221</f>
        <v>#REF!</v>
      </c>
    </row>
    <row r="223" spans="1:20" s="209" customFormat="1" ht="20.100000000000001" customHeight="1" x14ac:dyDescent="0.25">
      <c r="A223" s="252" t="e">
        <f t="shared" si="31"/>
        <v>#REF!</v>
      </c>
      <c r="B223" s="613"/>
      <c r="C223" s="548" t="s">
        <v>343</v>
      </c>
      <c r="D223" s="549"/>
      <c r="E223" s="224" t="s">
        <v>344</v>
      </c>
      <c r="F223" s="217" t="e">
        <f>ROUNDUP(F217/11,1)</f>
        <v>#REF!</v>
      </c>
      <c r="G223" s="217">
        <v>900</v>
      </c>
      <c r="H223" s="217" t="e">
        <f>F223*G223</f>
        <v>#REF!</v>
      </c>
      <c r="I223" s="220">
        <v>0.3</v>
      </c>
      <c r="J223" s="217">
        <f>ROUNDUP(G223*(100%+I223),0)</f>
        <v>1170</v>
      </c>
      <c r="K223" s="217" t="e">
        <f>F223*J223</f>
        <v>#REF!</v>
      </c>
      <c r="L223" s="225"/>
      <c r="M223" s="350" t="s">
        <v>463</v>
      </c>
      <c r="N223" s="351"/>
      <c r="O223" s="351"/>
      <c r="P223" s="351"/>
      <c r="Q223" s="351"/>
    </row>
    <row r="224" spans="1:20" s="209" customFormat="1" ht="20.100000000000001" customHeight="1" x14ac:dyDescent="0.25">
      <c r="A224" s="252" t="b">
        <f t="shared" si="31"/>
        <v>1</v>
      </c>
      <c r="B224" s="613"/>
      <c r="C224" s="548" t="s">
        <v>345</v>
      </c>
      <c r="D224" s="549"/>
      <c r="E224" s="224" t="s">
        <v>10</v>
      </c>
      <c r="F224" s="217">
        <v>12</v>
      </c>
      <c r="G224" s="217">
        <v>360</v>
      </c>
      <c r="H224" s="217">
        <f>F224*G224</f>
        <v>4320</v>
      </c>
      <c r="I224" s="220">
        <v>0.3</v>
      </c>
      <c r="J224" s="217">
        <f>ROUNDUP(G224*(100%+I224),-1)</f>
        <v>470</v>
      </c>
      <c r="K224" s="217">
        <f>F224*J224</f>
        <v>5640</v>
      </c>
      <c r="L224" s="225"/>
      <c r="M224" s="350" t="s">
        <v>462</v>
      </c>
      <c r="N224" s="351"/>
      <c r="O224" s="351"/>
      <c r="P224" s="351"/>
      <c r="Q224" s="351"/>
    </row>
    <row r="225" spans="1:17" s="209" customFormat="1" ht="20.100000000000001" customHeight="1" x14ac:dyDescent="0.25">
      <c r="A225" s="252" t="e">
        <f t="shared" si="31"/>
        <v>#REF!</v>
      </c>
      <c r="B225" s="613"/>
      <c r="C225" s="548" t="s">
        <v>346</v>
      </c>
      <c r="D225" s="549"/>
      <c r="E225" s="224" t="s">
        <v>10</v>
      </c>
      <c r="F225" s="221" t="e">
        <f>F219</f>
        <v>#REF!</v>
      </c>
      <c r="G225" s="217">
        <v>1730</v>
      </c>
      <c r="H225" s="217" t="e">
        <f>F225*G225</f>
        <v>#REF!</v>
      </c>
      <c r="I225" s="220">
        <v>0.2</v>
      </c>
      <c r="J225" s="217">
        <f>ROUNDUP(G225*(100%+I225),-1)</f>
        <v>2080</v>
      </c>
      <c r="K225" s="217" t="e">
        <f>F225*J225</f>
        <v>#REF!</v>
      </c>
      <c r="L225" s="225"/>
      <c r="M225" s="350" t="s">
        <v>464</v>
      </c>
      <c r="N225" s="351"/>
      <c r="O225" s="351"/>
      <c r="P225" s="351"/>
      <c r="Q225" s="351"/>
    </row>
    <row r="226" spans="1:17" s="209" customFormat="1" ht="20.100000000000001" customHeight="1" x14ac:dyDescent="0.25">
      <c r="A226" s="252" t="b">
        <f t="shared" si="31"/>
        <v>1</v>
      </c>
      <c r="B226" s="613"/>
      <c r="C226" s="537" t="s">
        <v>230</v>
      </c>
      <c r="D226" s="524"/>
      <c r="E226" s="215" t="s">
        <v>221</v>
      </c>
      <c r="F226" s="278">
        <v>3</v>
      </c>
      <c r="G226" s="217" t="e">
        <f>ROUNDUP(F217/5*1000,-3)</f>
        <v>#REF!</v>
      </c>
      <c r="H226" s="217" t="e">
        <f>F226*G226</f>
        <v>#REF!</v>
      </c>
      <c r="I226" s="220">
        <v>0.2</v>
      </c>
      <c r="J226" s="217" t="e">
        <f>ROUNDUP(G226*(100%+I226),-3)</f>
        <v>#REF!</v>
      </c>
      <c r="K226" s="217" t="e">
        <f>F226*J226</f>
        <v>#REF!</v>
      </c>
      <c r="L226" s="267"/>
      <c r="M226" s="350" t="s">
        <v>465</v>
      </c>
      <c r="N226" s="351"/>
      <c r="O226" s="351"/>
      <c r="P226" s="351"/>
      <c r="Q226" s="351"/>
    </row>
    <row r="227" spans="1:17" s="263" customFormat="1" ht="20.100000000000001" customHeight="1" x14ac:dyDescent="0.25">
      <c r="A227" s="208" t="b">
        <f>OR(A228:A238)</f>
        <v>1</v>
      </c>
      <c r="B227" s="613"/>
      <c r="C227" s="551" t="s">
        <v>471</v>
      </c>
      <c r="D227" s="552"/>
      <c r="E227" s="265"/>
      <c r="F227" s="266"/>
      <c r="G227" s="266"/>
      <c r="H227" s="353" t="e">
        <f>SUM(H222:H226)</f>
        <v>#REF!</v>
      </c>
      <c r="I227" s="266"/>
      <c r="J227" s="266"/>
      <c r="K227" s="353" t="e">
        <f>SUM(K222:K226)</f>
        <v>#REF!</v>
      </c>
      <c r="L227" s="267"/>
      <c r="N227" s="264"/>
      <c r="Q227" s="264"/>
    </row>
    <row r="228" spans="1:17" s="209" customFormat="1" ht="20.100000000000001" customHeight="1" x14ac:dyDescent="0.25">
      <c r="A228" s="252"/>
      <c r="B228" s="613"/>
      <c r="C228" s="550" t="s">
        <v>231</v>
      </c>
      <c r="D228" s="536"/>
      <c r="E228" s="215"/>
      <c r="F228" s="217"/>
      <c r="G228" s="217"/>
      <c r="H228" s="217"/>
      <c r="I228" s="217"/>
      <c r="J228" s="217"/>
      <c r="K228" s="217"/>
      <c r="L228" s="218"/>
      <c r="N228" s="212"/>
      <c r="Q228" s="212"/>
    </row>
    <row r="229" spans="1:17" s="209" customFormat="1" ht="20.100000000000001" customHeight="1" x14ac:dyDescent="0.25">
      <c r="A229" s="252" t="b">
        <f t="shared" si="31"/>
        <v>1</v>
      </c>
      <c r="B229" s="613"/>
      <c r="C229" s="537" t="s">
        <v>246</v>
      </c>
      <c r="D229" s="524"/>
      <c r="E229" s="215" t="s">
        <v>247</v>
      </c>
      <c r="F229" s="231">
        <v>0.08</v>
      </c>
      <c r="G229" s="217"/>
      <c r="H229" s="217" t="e">
        <f>ROUNDUP(SUM(K215:K219)*F229,0)</f>
        <v>#REF!</v>
      </c>
      <c r="I229" s="217"/>
      <c r="J229" s="217"/>
      <c r="K229" s="217" t="e">
        <f>H229</f>
        <v>#REF!</v>
      </c>
      <c r="L229" s="218"/>
      <c r="N229" s="212"/>
      <c r="Q229" s="212"/>
    </row>
    <row r="230" spans="1:17" s="209" customFormat="1" ht="20.100000000000001" customHeight="1" x14ac:dyDescent="0.25">
      <c r="A230" s="252" t="b">
        <f t="shared" si="31"/>
        <v>1</v>
      </c>
      <c r="B230" s="613"/>
      <c r="C230" s="533" t="s">
        <v>248</v>
      </c>
      <c r="D230" s="534"/>
      <c r="E230" s="215" t="s">
        <v>247</v>
      </c>
      <c r="F230" s="231">
        <v>0.05</v>
      </c>
      <c r="G230" s="217"/>
      <c r="H230" s="217" t="e">
        <f>ROUNDUP(SUM(K222:K226)*F230,0)</f>
        <v>#REF!</v>
      </c>
      <c r="I230" s="217"/>
      <c r="J230" s="217"/>
      <c r="K230" s="217" t="e">
        <f>H230</f>
        <v>#REF!</v>
      </c>
      <c r="L230" s="218"/>
      <c r="N230" s="212"/>
      <c r="Q230" s="212"/>
    </row>
    <row r="231" spans="1:17" s="209" customFormat="1" ht="20.100000000000001" customHeight="1" x14ac:dyDescent="0.25">
      <c r="A231" s="252"/>
      <c r="B231" s="613"/>
      <c r="C231" s="566" t="s">
        <v>347</v>
      </c>
      <c r="D231" s="567"/>
      <c r="E231" s="232"/>
      <c r="F231" s="233"/>
      <c r="G231" s="233"/>
      <c r="H231" s="234" t="e">
        <f>SUM(H229:H230)+H227+H220</f>
        <v>#REF!</v>
      </c>
      <c r="I231" s="233"/>
      <c r="J231" s="233"/>
      <c r="K231" s="234" t="e">
        <f>SUM(K229:K230)+K227+K220</f>
        <v>#REF!</v>
      </c>
      <c r="L231" s="235"/>
      <c r="N231" s="212"/>
      <c r="Q231" s="212"/>
    </row>
    <row r="232" spans="1:17" s="209" customFormat="1" ht="20.100000000000001" customHeight="1" x14ac:dyDescent="0.25">
      <c r="A232" s="252"/>
      <c r="B232" s="252"/>
      <c r="C232" s="539"/>
      <c r="D232" s="540"/>
      <c r="E232" s="540"/>
      <c r="F232" s="540"/>
      <c r="G232" s="540"/>
      <c r="H232" s="540"/>
      <c r="I232" s="540"/>
      <c r="J232" s="540"/>
      <c r="K232" s="540"/>
      <c r="L232" s="541"/>
      <c r="N232" s="212"/>
      <c r="Q232" s="212"/>
    </row>
    <row r="233" spans="1:17" s="209" customFormat="1" ht="20.100000000000001" customHeight="1" x14ac:dyDescent="0.25">
      <c r="A233" s="252"/>
      <c r="B233" s="608" t="s">
        <v>455</v>
      </c>
      <c r="C233" s="572" t="s">
        <v>348</v>
      </c>
      <c r="D233" s="572"/>
      <c r="E233" s="572"/>
      <c r="F233" s="572"/>
      <c r="G233" s="572"/>
      <c r="H233" s="572"/>
      <c r="I233" s="572"/>
      <c r="J233" s="572"/>
      <c r="K233" s="572"/>
      <c r="L233" s="572"/>
      <c r="N233" s="212"/>
      <c r="Q233" s="212"/>
    </row>
    <row r="234" spans="1:17" s="209" customFormat="1" ht="20.100000000000001" customHeight="1" x14ac:dyDescent="0.25">
      <c r="A234" s="252"/>
      <c r="B234" s="609"/>
      <c r="C234" s="581" t="s">
        <v>200</v>
      </c>
      <c r="D234" s="547"/>
      <c r="E234" s="236"/>
      <c r="F234" s="237"/>
      <c r="G234" s="237"/>
      <c r="H234" s="237"/>
      <c r="I234" s="237"/>
      <c r="J234" s="237"/>
      <c r="K234" s="237"/>
      <c r="L234" s="238"/>
      <c r="N234" s="212"/>
      <c r="Q234" s="212"/>
    </row>
    <row r="235" spans="1:17" s="209" customFormat="1" ht="20.100000000000001" customHeight="1" x14ac:dyDescent="0.25">
      <c r="A235" s="252" t="b">
        <f t="shared" si="31"/>
        <v>0</v>
      </c>
      <c r="B235" s="609"/>
      <c r="C235" s="533" t="s">
        <v>349</v>
      </c>
      <c r="D235" s="534"/>
      <c r="E235" s="215" t="s">
        <v>24</v>
      </c>
      <c r="F235" s="279">
        <v>0</v>
      </c>
      <c r="G235" s="217">
        <f>'[2]Расценки рабочих'!D82</f>
        <v>150</v>
      </c>
      <c r="H235" s="217">
        <f t="shared" ref="H235:H246" si="36">F235*G235</f>
        <v>0</v>
      </c>
      <c r="I235" s="220">
        <v>1.1000000000000001</v>
      </c>
      <c r="J235" s="217">
        <f t="shared" ref="J235:J246" si="37">ROUNDUP(G235*(100%+I235),-1)</f>
        <v>320</v>
      </c>
      <c r="K235" s="217">
        <f t="shared" ref="K235:K246" si="38">F235*J235</f>
        <v>0</v>
      </c>
      <c r="L235" s="218"/>
      <c r="N235" s="212"/>
      <c r="Q235" s="212"/>
    </row>
    <row r="236" spans="1:17" s="209" customFormat="1" ht="20.100000000000001" customHeight="1" x14ac:dyDescent="0.25">
      <c r="A236" s="252" t="b">
        <f t="shared" si="31"/>
        <v>0</v>
      </c>
      <c r="B236" s="609"/>
      <c r="C236" s="533" t="s">
        <v>350</v>
      </c>
      <c r="D236" s="534"/>
      <c r="E236" s="215" t="s">
        <v>24</v>
      </c>
      <c r="F236" s="221">
        <f>F235</f>
        <v>0</v>
      </c>
      <c r="G236" s="217">
        <f>'[2]Расценки рабочих'!D83</f>
        <v>50</v>
      </c>
      <c r="H236" s="217">
        <f t="shared" si="36"/>
        <v>0</v>
      </c>
      <c r="I236" s="220">
        <v>1.1000000000000001</v>
      </c>
      <c r="J236" s="217">
        <f t="shared" si="37"/>
        <v>110</v>
      </c>
      <c r="K236" s="217">
        <f t="shared" si="38"/>
        <v>0</v>
      </c>
      <c r="L236" s="218"/>
      <c r="N236" s="212"/>
      <c r="Q236" s="212"/>
    </row>
    <row r="237" spans="1:17" s="209" customFormat="1" ht="20.100000000000001" customHeight="1" x14ac:dyDescent="0.25">
      <c r="A237" s="252" t="b">
        <f t="shared" si="31"/>
        <v>0</v>
      </c>
      <c r="B237" s="609"/>
      <c r="C237" s="533" t="s">
        <v>351</v>
      </c>
      <c r="D237" s="534"/>
      <c r="E237" s="215" t="s">
        <v>24</v>
      </c>
      <c r="F237" s="221">
        <f>F235</f>
        <v>0</v>
      </c>
      <c r="G237" s="217">
        <f>'[2]Расценки рабочих'!D84</f>
        <v>50</v>
      </c>
      <c r="H237" s="217">
        <f t="shared" si="36"/>
        <v>0</v>
      </c>
      <c r="I237" s="220">
        <v>1.1000000000000001</v>
      </c>
      <c r="J237" s="217">
        <f t="shared" si="37"/>
        <v>110</v>
      </c>
      <c r="K237" s="217">
        <f t="shared" si="38"/>
        <v>0</v>
      </c>
      <c r="L237" s="218"/>
      <c r="N237" s="212"/>
      <c r="Q237" s="212"/>
    </row>
    <row r="238" spans="1:17" s="209" customFormat="1" ht="20.100000000000001" customHeight="1" x14ac:dyDescent="0.25">
      <c r="A238" s="252" t="b">
        <f t="shared" si="31"/>
        <v>0</v>
      </c>
      <c r="B238" s="609"/>
      <c r="C238" s="533" t="s">
        <v>352</v>
      </c>
      <c r="D238" s="534"/>
      <c r="E238" s="215" t="s">
        <v>24</v>
      </c>
      <c r="F238" s="221">
        <f>F235</f>
        <v>0</v>
      </c>
      <c r="G238" s="217">
        <f>'[2]Расценки рабочих'!D85</f>
        <v>30</v>
      </c>
      <c r="H238" s="217">
        <f t="shared" si="36"/>
        <v>0</v>
      </c>
      <c r="I238" s="220">
        <v>1.1000000000000001</v>
      </c>
      <c r="J238" s="217">
        <f t="shared" si="37"/>
        <v>70</v>
      </c>
      <c r="K238" s="217">
        <f t="shared" si="38"/>
        <v>0</v>
      </c>
      <c r="L238" s="218"/>
      <c r="N238" s="212"/>
      <c r="Q238" s="212"/>
    </row>
    <row r="239" spans="1:17" s="209" customFormat="1" ht="20.100000000000001" customHeight="1" x14ac:dyDescent="0.25">
      <c r="A239" s="252" t="b">
        <f t="shared" si="31"/>
        <v>0</v>
      </c>
      <c r="B239" s="609"/>
      <c r="C239" s="537" t="s">
        <v>353</v>
      </c>
      <c r="D239" s="524"/>
      <c r="E239" s="215" t="s">
        <v>24</v>
      </c>
      <c r="F239" s="221">
        <f>F235</f>
        <v>0</v>
      </c>
      <c r="G239" s="217">
        <f>'[2]Расценки рабочих'!D86</f>
        <v>50</v>
      </c>
      <c r="H239" s="217">
        <f t="shared" si="36"/>
        <v>0</v>
      </c>
      <c r="I239" s="220">
        <v>1.1000000000000001</v>
      </c>
      <c r="J239" s="217">
        <f t="shared" si="37"/>
        <v>110</v>
      </c>
      <c r="K239" s="217">
        <f t="shared" si="38"/>
        <v>0</v>
      </c>
      <c r="L239" s="218"/>
      <c r="N239" s="212"/>
      <c r="Q239" s="212"/>
    </row>
    <row r="240" spans="1:17" s="209" customFormat="1" ht="20.100000000000001" customHeight="1" x14ac:dyDescent="0.25">
      <c r="A240" s="252" t="b">
        <f t="shared" si="31"/>
        <v>0</v>
      </c>
      <c r="B240" s="609"/>
      <c r="C240" s="533" t="s">
        <v>354</v>
      </c>
      <c r="D240" s="534"/>
      <c r="E240" s="215" t="s">
        <v>193</v>
      </c>
      <c r="F240" s="279">
        <v>0</v>
      </c>
      <c r="G240" s="217">
        <f>'[2]Расценки рабочих'!D87</f>
        <v>200</v>
      </c>
      <c r="H240" s="217">
        <f t="shared" si="36"/>
        <v>0</v>
      </c>
      <c r="I240" s="220">
        <v>1.1000000000000001</v>
      </c>
      <c r="J240" s="217">
        <f t="shared" si="37"/>
        <v>420</v>
      </c>
      <c r="K240" s="217">
        <f t="shared" si="38"/>
        <v>0</v>
      </c>
      <c r="L240" s="218"/>
      <c r="N240" s="212"/>
      <c r="Q240" s="212"/>
    </row>
    <row r="241" spans="1:17" s="209" customFormat="1" ht="20.100000000000001" customHeight="1" x14ac:dyDescent="0.25">
      <c r="A241" s="252" t="b">
        <f t="shared" si="31"/>
        <v>0</v>
      </c>
      <c r="B241" s="609"/>
      <c r="C241" s="533" t="s">
        <v>355</v>
      </c>
      <c r="D241" s="534"/>
      <c r="E241" s="215" t="s">
        <v>193</v>
      </c>
      <c r="F241" s="221">
        <f>F240</f>
        <v>0</v>
      </c>
      <c r="G241" s="217">
        <f>'[2]Расценки рабочих'!D88</f>
        <v>40</v>
      </c>
      <c r="H241" s="217">
        <f t="shared" si="36"/>
        <v>0</v>
      </c>
      <c r="I241" s="220">
        <v>1.1000000000000001</v>
      </c>
      <c r="J241" s="217">
        <f t="shared" si="37"/>
        <v>90</v>
      </c>
      <c r="K241" s="217">
        <f t="shared" si="38"/>
        <v>0</v>
      </c>
      <c r="L241" s="218"/>
      <c r="N241" s="212"/>
      <c r="Q241" s="212"/>
    </row>
    <row r="242" spans="1:17" s="209" customFormat="1" ht="20.100000000000001" customHeight="1" x14ac:dyDescent="0.25">
      <c r="A242" s="252" t="b">
        <f t="shared" si="31"/>
        <v>0</v>
      </c>
      <c r="B242" s="609"/>
      <c r="C242" s="533" t="s">
        <v>356</v>
      </c>
      <c r="D242" s="534"/>
      <c r="E242" s="215" t="s">
        <v>193</v>
      </c>
      <c r="F242" s="221">
        <f>F240</f>
        <v>0</v>
      </c>
      <c r="G242" s="217">
        <f>'[2]Расценки рабочих'!D89</f>
        <v>70</v>
      </c>
      <c r="H242" s="217">
        <f t="shared" si="36"/>
        <v>0</v>
      </c>
      <c r="I242" s="220">
        <v>1.1000000000000001</v>
      </c>
      <c r="J242" s="217">
        <f t="shared" si="37"/>
        <v>150</v>
      </c>
      <c r="K242" s="217">
        <f t="shared" si="38"/>
        <v>0</v>
      </c>
      <c r="L242" s="218"/>
      <c r="N242" s="212"/>
      <c r="Q242" s="212"/>
    </row>
    <row r="243" spans="1:17" s="209" customFormat="1" ht="20.100000000000001" customHeight="1" x14ac:dyDescent="0.25">
      <c r="A243" s="252" t="b">
        <f t="shared" si="31"/>
        <v>0</v>
      </c>
      <c r="B243" s="609"/>
      <c r="C243" s="533" t="s">
        <v>352</v>
      </c>
      <c r="D243" s="534"/>
      <c r="E243" s="215" t="s">
        <v>193</v>
      </c>
      <c r="F243" s="221">
        <f>F240</f>
        <v>0</v>
      </c>
      <c r="G243" s="217">
        <f>'[2]Расценки рабочих'!D90</f>
        <v>40</v>
      </c>
      <c r="H243" s="217">
        <f t="shared" si="36"/>
        <v>0</v>
      </c>
      <c r="I243" s="220">
        <v>1.1000000000000001</v>
      </c>
      <c r="J243" s="217">
        <f t="shared" si="37"/>
        <v>90</v>
      </c>
      <c r="K243" s="217">
        <f t="shared" si="38"/>
        <v>0</v>
      </c>
      <c r="L243" s="218"/>
      <c r="N243" s="212"/>
      <c r="Q243" s="212"/>
    </row>
    <row r="244" spans="1:17" s="209" customFormat="1" ht="20.100000000000001" customHeight="1" x14ac:dyDescent="0.25">
      <c r="A244" s="252" t="b">
        <f t="shared" ref="A244:A266" si="39">IF(F244&gt;0, TRUE, FALSE)</f>
        <v>0</v>
      </c>
      <c r="B244" s="609"/>
      <c r="C244" s="537" t="s">
        <v>357</v>
      </c>
      <c r="D244" s="524"/>
      <c r="E244" s="215" t="s">
        <v>193</v>
      </c>
      <c r="F244" s="221">
        <f>F240</f>
        <v>0</v>
      </c>
      <c r="G244" s="217">
        <f>'[2]Расценки рабочих'!D91</f>
        <v>70</v>
      </c>
      <c r="H244" s="217">
        <f t="shared" si="36"/>
        <v>0</v>
      </c>
      <c r="I244" s="220">
        <v>1.1000000000000001</v>
      </c>
      <c r="J244" s="217">
        <f t="shared" si="37"/>
        <v>150</v>
      </c>
      <c r="K244" s="217">
        <f t="shared" si="38"/>
        <v>0</v>
      </c>
      <c r="L244" s="218"/>
      <c r="N244" s="212"/>
      <c r="Q244" s="212"/>
    </row>
    <row r="245" spans="1:17" s="209" customFormat="1" ht="20.100000000000001" customHeight="1" x14ac:dyDescent="0.25">
      <c r="A245" s="252" t="e">
        <f t="shared" si="39"/>
        <v>#REF!</v>
      </c>
      <c r="B245" s="609"/>
      <c r="C245" s="610" t="s">
        <v>358</v>
      </c>
      <c r="D245" s="611"/>
      <c r="E245" s="215" t="s">
        <v>10</v>
      </c>
      <c r="F245" s="217" t="e">
        <f>#REF!</f>
        <v>#REF!</v>
      </c>
      <c r="G245" s="217">
        <f>'[2]Расценки рабочих'!D92</f>
        <v>800</v>
      </c>
      <c r="H245" s="217" t="e">
        <f t="shared" si="36"/>
        <v>#REF!</v>
      </c>
      <c r="I245" s="220">
        <v>1.2</v>
      </c>
      <c r="J245" s="217">
        <f t="shared" si="37"/>
        <v>1760</v>
      </c>
      <c r="K245" s="217" t="e">
        <f t="shared" si="38"/>
        <v>#REF!</v>
      </c>
      <c r="L245" s="218"/>
      <c r="N245" s="212"/>
      <c r="Q245" s="212"/>
    </row>
    <row r="246" spans="1:17" s="209" customFormat="1" ht="20.100000000000001" customHeight="1" x14ac:dyDescent="0.25">
      <c r="A246" s="252" t="e">
        <f t="shared" si="39"/>
        <v>#REF!</v>
      </c>
      <c r="B246" s="609"/>
      <c r="C246" s="533" t="s">
        <v>359</v>
      </c>
      <c r="D246" s="534"/>
      <c r="E246" s="215" t="s">
        <v>10</v>
      </c>
      <c r="F246" s="217" t="e">
        <f>#REF!+#REF!</f>
        <v>#REF!</v>
      </c>
      <c r="G246" s="217">
        <f>'[2]Расценки рабочих'!D93</f>
        <v>1000</v>
      </c>
      <c r="H246" s="217" t="e">
        <f t="shared" si="36"/>
        <v>#REF!</v>
      </c>
      <c r="I246" s="220">
        <v>1.2</v>
      </c>
      <c r="J246" s="217">
        <f t="shared" si="37"/>
        <v>2200</v>
      </c>
      <c r="K246" s="217" t="e">
        <f t="shared" si="38"/>
        <v>#REF!</v>
      </c>
      <c r="L246" s="218"/>
      <c r="N246" s="212"/>
      <c r="Q246" s="212"/>
    </row>
    <row r="247" spans="1:17" s="263" customFormat="1" ht="20.100000000000001" customHeight="1" x14ac:dyDescent="0.25">
      <c r="A247" s="208" t="b">
        <f>OR(A248:A261)</f>
        <v>1</v>
      </c>
      <c r="B247" s="609"/>
      <c r="C247" s="551" t="s">
        <v>470</v>
      </c>
      <c r="D247" s="552"/>
      <c r="E247" s="265"/>
      <c r="F247" s="266"/>
      <c r="G247" s="266"/>
      <c r="H247" s="353" t="e">
        <f>SUM(H235:H246)</f>
        <v>#REF!</v>
      </c>
      <c r="I247" s="266"/>
      <c r="J247" s="266"/>
      <c r="K247" s="353" t="e">
        <f>SUM(K235:K246)</f>
        <v>#REF!</v>
      </c>
      <c r="L247" s="267"/>
      <c r="N247" s="264"/>
      <c r="Q247" s="264"/>
    </row>
    <row r="248" spans="1:17" s="209" customFormat="1" ht="20.100000000000001" customHeight="1" x14ac:dyDescent="0.25">
      <c r="A248" s="252"/>
      <c r="B248" s="609"/>
      <c r="C248" s="550" t="s">
        <v>215</v>
      </c>
      <c r="D248" s="536"/>
      <c r="E248" s="215"/>
      <c r="F248" s="217"/>
      <c r="G248" s="217"/>
      <c r="H248" s="217"/>
      <c r="I248" s="217"/>
      <c r="J248" s="217"/>
      <c r="K248" s="217"/>
      <c r="L248" s="218"/>
      <c r="N248" s="212"/>
      <c r="Q248" s="212"/>
    </row>
    <row r="249" spans="1:17" s="209" customFormat="1" ht="20.100000000000001" customHeight="1" x14ac:dyDescent="0.25">
      <c r="A249" s="252" t="b">
        <f t="shared" si="39"/>
        <v>0</v>
      </c>
      <c r="B249" s="609"/>
      <c r="C249" s="537" t="s">
        <v>360</v>
      </c>
      <c r="D249" s="524"/>
      <c r="E249" s="215" t="s">
        <v>10</v>
      </c>
      <c r="F249" s="217">
        <f>ROUNDUP((F235+F240)/2,0)</f>
        <v>0</v>
      </c>
      <c r="G249" s="217">
        <v>50</v>
      </c>
      <c r="H249" s="217">
        <f t="shared" ref="H249:H256" si="40">F249*G249</f>
        <v>0</v>
      </c>
      <c r="I249" s="220">
        <v>0.43</v>
      </c>
      <c r="J249" s="217">
        <f>ROUNDUP(G249*(100%+I249),0)</f>
        <v>72</v>
      </c>
      <c r="K249" s="217">
        <f t="shared" ref="K249:K256" si="41">F249*J249</f>
        <v>0</v>
      </c>
      <c r="L249" s="218"/>
      <c r="N249" s="212"/>
      <c r="Q249" s="212"/>
    </row>
    <row r="250" spans="1:17" s="209" customFormat="1" ht="20.100000000000001" customHeight="1" x14ac:dyDescent="0.25">
      <c r="A250" s="252" t="b">
        <f t="shared" si="39"/>
        <v>0</v>
      </c>
      <c r="B250" s="609"/>
      <c r="C250" s="537" t="s">
        <v>361</v>
      </c>
      <c r="D250" s="524"/>
      <c r="E250" s="215" t="s">
        <v>330</v>
      </c>
      <c r="F250" s="217">
        <f>ROUNDUP(F236*0.2*0.35,0)</f>
        <v>0</v>
      </c>
      <c r="G250" s="217">
        <v>850</v>
      </c>
      <c r="H250" s="217">
        <f t="shared" si="40"/>
        <v>0</v>
      </c>
      <c r="I250" s="220">
        <v>0.17</v>
      </c>
      <c r="J250" s="217">
        <f t="shared" ref="J250:J255" si="42">ROUNDUP(G250*(100%+I250),-1)</f>
        <v>1000</v>
      </c>
      <c r="K250" s="217">
        <f t="shared" si="41"/>
        <v>0</v>
      </c>
      <c r="L250" s="218"/>
      <c r="N250" s="212"/>
      <c r="Q250" s="212"/>
    </row>
    <row r="251" spans="1:17" s="209" customFormat="1" ht="20.100000000000001" customHeight="1" x14ac:dyDescent="0.25">
      <c r="A251" s="252" t="b">
        <f t="shared" si="39"/>
        <v>0</v>
      </c>
      <c r="B251" s="609"/>
      <c r="C251" s="537" t="s">
        <v>329</v>
      </c>
      <c r="D251" s="524"/>
      <c r="E251" s="215" t="s">
        <v>330</v>
      </c>
      <c r="F251" s="217">
        <f>ROUNDUP(F241*0.125*1.15,0)</f>
        <v>0</v>
      </c>
      <c r="G251" s="217">
        <v>680</v>
      </c>
      <c r="H251" s="217">
        <f t="shared" si="40"/>
        <v>0</v>
      </c>
      <c r="I251" s="220">
        <v>0.17</v>
      </c>
      <c r="J251" s="217">
        <f t="shared" si="42"/>
        <v>800</v>
      </c>
      <c r="K251" s="217">
        <f t="shared" si="41"/>
        <v>0</v>
      </c>
      <c r="L251" s="218" t="s">
        <v>362</v>
      </c>
      <c r="N251" s="212"/>
      <c r="Q251" s="212"/>
    </row>
    <row r="252" spans="1:17" s="209" customFormat="1" ht="20.100000000000001" customHeight="1" x14ac:dyDescent="0.25">
      <c r="A252" s="252" t="b">
        <f t="shared" si="39"/>
        <v>0</v>
      </c>
      <c r="B252" s="609"/>
      <c r="C252" s="537" t="s">
        <v>331</v>
      </c>
      <c r="D252" s="524"/>
      <c r="E252" s="215" t="s">
        <v>330</v>
      </c>
      <c r="F252" s="217">
        <f>ROUNDUP((F242+F244)*0.125*1.15,0)</f>
        <v>0</v>
      </c>
      <c r="G252" s="217">
        <v>890</v>
      </c>
      <c r="H252" s="217">
        <f t="shared" si="40"/>
        <v>0</v>
      </c>
      <c r="I252" s="220">
        <v>0.17</v>
      </c>
      <c r="J252" s="217">
        <f t="shared" si="42"/>
        <v>1050</v>
      </c>
      <c r="K252" s="217">
        <f t="shared" si="41"/>
        <v>0</v>
      </c>
      <c r="L252" s="218" t="s">
        <v>362</v>
      </c>
      <c r="N252" s="212"/>
      <c r="Q252" s="212"/>
    </row>
    <row r="253" spans="1:17" s="263" customFormat="1" ht="20.100000000000001" customHeight="1" x14ac:dyDescent="0.25">
      <c r="A253" s="252"/>
      <c r="B253" s="609"/>
      <c r="C253" s="537" t="s">
        <v>449</v>
      </c>
      <c r="D253" s="524"/>
      <c r="E253" s="265" t="s">
        <v>206</v>
      </c>
      <c r="F253" s="280">
        <f>((24+56)*0.028*0.146)*1.1</f>
        <v>0.35974400000000001</v>
      </c>
      <c r="G253" s="266">
        <v>15000</v>
      </c>
      <c r="H253" s="266">
        <f t="shared" si="40"/>
        <v>5396.16</v>
      </c>
      <c r="I253" s="271">
        <v>0.6</v>
      </c>
      <c r="J253" s="266">
        <f t="shared" si="42"/>
        <v>24000</v>
      </c>
      <c r="K253" s="266">
        <f t="shared" si="41"/>
        <v>8633.8559999999998</v>
      </c>
      <c r="L253" s="328"/>
      <c r="N253" s="264"/>
      <c r="Q253" s="264"/>
    </row>
    <row r="254" spans="1:17" s="209" customFormat="1" ht="20.100000000000001" customHeight="1" x14ac:dyDescent="0.25">
      <c r="A254" s="252" t="b">
        <f t="shared" si="39"/>
        <v>1</v>
      </c>
      <c r="B254" s="609"/>
      <c r="C254" s="537" t="s">
        <v>450</v>
      </c>
      <c r="D254" s="524"/>
      <c r="E254" s="265" t="s">
        <v>206</v>
      </c>
      <c r="F254" s="280">
        <f>(24*0.028*0.196)*1.1</f>
        <v>0.14488320000000005</v>
      </c>
      <c r="G254" s="266">
        <v>15000</v>
      </c>
      <c r="H254" s="266">
        <f t="shared" si="40"/>
        <v>2173.2480000000005</v>
      </c>
      <c r="I254" s="271">
        <v>0.6</v>
      </c>
      <c r="J254" s="266">
        <f t="shared" si="42"/>
        <v>24000</v>
      </c>
      <c r="K254" s="266">
        <f t="shared" si="41"/>
        <v>3477.1968000000011</v>
      </c>
      <c r="L254" s="563" t="s">
        <v>363</v>
      </c>
      <c r="N254" s="212"/>
      <c r="Q254" s="212"/>
    </row>
    <row r="255" spans="1:17" s="209" customFormat="1" ht="20.100000000000001" customHeight="1" x14ac:dyDescent="0.25">
      <c r="A255" s="252" t="b">
        <f t="shared" si="39"/>
        <v>0</v>
      </c>
      <c r="B255" s="609"/>
      <c r="C255" s="537" t="s">
        <v>364</v>
      </c>
      <c r="D255" s="524"/>
      <c r="E255" s="215" t="s">
        <v>330</v>
      </c>
      <c r="F255" s="278"/>
      <c r="G255" s="217">
        <v>890</v>
      </c>
      <c r="H255" s="217">
        <f t="shared" si="40"/>
        <v>0</v>
      </c>
      <c r="I255" s="220">
        <v>0.17</v>
      </c>
      <c r="J255" s="217">
        <f t="shared" si="42"/>
        <v>1050</v>
      </c>
      <c r="K255" s="217">
        <f t="shared" si="41"/>
        <v>0</v>
      </c>
      <c r="L255" s="565"/>
      <c r="N255" s="212"/>
      <c r="Q255" s="212"/>
    </row>
    <row r="256" spans="1:17" s="209" customFormat="1" ht="20.100000000000001" customHeight="1" x14ac:dyDescent="0.25">
      <c r="A256" s="252" t="b">
        <f t="shared" si="39"/>
        <v>1</v>
      </c>
      <c r="B256" s="609"/>
      <c r="C256" s="537" t="s">
        <v>230</v>
      </c>
      <c r="D256" s="524"/>
      <c r="E256" s="215" t="s">
        <v>221</v>
      </c>
      <c r="F256" s="217">
        <v>1</v>
      </c>
      <c r="G256" s="217">
        <f>ROUNDUP(F240/10*500,-3)</f>
        <v>0</v>
      </c>
      <c r="H256" s="217">
        <f t="shared" si="40"/>
        <v>0</v>
      </c>
      <c r="I256" s="220">
        <v>0.2</v>
      </c>
      <c r="J256" s="217">
        <f>ROUNDUP(G256*(100%+I256),-3)</f>
        <v>0</v>
      </c>
      <c r="K256" s="217">
        <f t="shared" si="41"/>
        <v>0</v>
      </c>
      <c r="L256" s="218"/>
      <c r="N256" s="212"/>
      <c r="Q256" s="212"/>
    </row>
    <row r="257" spans="1:17" s="263" customFormat="1" ht="20.100000000000001" customHeight="1" x14ac:dyDescent="0.25">
      <c r="A257" s="208" t="b">
        <f>OR(A258:A268)</f>
        <v>1</v>
      </c>
      <c r="B257" s="609"/>
      <c r="C257" s="551" t="s">
        <v>471</v>
      </c>
      <c r="D257" s="552"/>
      <c r="E257" s="265"/>
      <c r="F257" s="266"/>
      <c r="G257" s="266"/>
      <c r="H257" s="353">
        <f>SUM(H249:H256)</f>
        <v>7569.4080000000004</v>
      </c>
      <c r="I257" s="266"/>
      <c r="J257" s="266"/>
      <c r="K257" s="353">
        <f>SUM(K249:K256)</f>
        <v>12111.052800000001</v>
      </c>
      <c r="L257" s="267"/>
      <c r="N257" s="264"/>
      <c r="Q257" s="264"/>
    </row>
    <row r="258" spans="1:17" s="209" customFormat="1" ht="20.100000000000001" customHeight="1" x14ac:dyDescent="0.25">
      <c r="A258" s="252"/>
      <c r="B258" s="609"/>
      <c r="C258" s="550" t="s">
        <v>231</v>
      </c>
      <c r="D258" s="536"/>
      <c r="E258" s="215"/>
      <c r="F258" s="217"/>
      <c r="G258" s="217"/>
      <c r="H258" s="217"/>
      <c r="I258" s="217"/>
      <c r="J258" s="217"/>
      <c r="K258" s="217"/>
      <c r="L258" s="218"/>
      <c r="N258" s="212"/>
      <c r="Q258" s="212"/>
    </row>
    <row r="259" spans="1:17" s="209" customFormat="1" ht="20.100000000000001" customHeight="1" x14ac:dyDescent="0.25">
      <c r="A259" s="252" t="b">
        <f t="shared" si="39"/>
        <v>1</v>
      </c>
      <c r="B259" s="609"/>
      <c r="C259" s="537" t="s">
        <v>246</v>
      </c>
      <c r="D259" s="524"/>
      <c r="E259" s="215" t="s">
        <v>247</v>
      </c>
      <c r="F259" s="231">
        <v>0.1</v>
      </c>
      <c r="G259" s="217"/>
      <c r="H259" s="217" t="e">
        <f>ROUNDUP(SUM(K235:K246)*F259,0)</f>
        <v>#REF!</v>
      </c>
      <c r="I259" s="217"/>
      <c r="J259" s="217"/>
      <c r="K259" s="217" t="e">
        <f>H259</f>
        <v>#REF!</v>
      </c>
      <c r="L259" s="218"/>
      <c r="N259" s="212"/>
      <c r="Q259" s="212"/>
    </row>
    <row r="260" spans="1:17" s="209" customFormat="1" ht="20.100000000000001" customHeight="1" x14ac:dyDescent="0.25">
      <c r="A260" s="252" t="b">
        <f t="shared" si="39"/>
        <v>1</v>
      </c>
      <c r="B260" s="609"/>
      <c r="C260" s="533" t="s">
        <v>248</v>
      </c>
      <c r="D260" s="534"/>
      <c r="E260" s="215" t="s">
        <v>247</v>
      </c>
      <c r="F260" s="231">
        <v>0.1</v>
      </c>
      <c r="G260" s="217"/>
      <c r="H260" s="217">
        <f>ROUNDUP(SUM(K249:K256)*F260,0)</f>
        <v>1212</v>
      </c>
      <c r="I260" s="217"/>
      <c r="J260" s="217"/>
      <c r="K260" s="217">
        <f>H260</f>
        <v>1212</v>
      </c>
      <c r="L260" s="218"/>
      <c r="N260" s="212"/>
      <c r="Q260" s="212"/>
    </row>
    <row r="261" spans="1:17" s="209" customFormat="1" ht="20.100000000000001" customHeight="1" x14ac:dyDescent="0.25">
      <c r="A261" s="252"/>
      <c r="B261" s="609"/>
      <c r="C261" s="566" t="s">
        <v>365</v>
      </c>
      <c r="D261" s="567"/>
      <c r="E261" s="232"/>
      <c r="F261" s="233"/>
      <c r="G261" s="233"/>
      <c r="H261" s="234" t="e">
        <f>SUM(H259:H260)+H257+H247</f>
        <v>#REF!</v>
      </c>
      <c r="I261" s="233"/>
      <c r="J261" s="233"/>
      <c r="K261" s="234" t="e">
        <f>SUM(K259:K260)+K257+K247</f>
        <v>#REF!</v>
      </c>
      <c r="L261" s="235"/>
      <c r="N261" s="212"/>
      <c r="Q261" s="212"/>
    </row>
    <row r="262" spans="1:17" s="209" customFormat="1" ht="20.100000000000001" customHeight="1" x14ac:dyDescent="0.25">
      <c r="A262" s="252"/>
      <c r="B262" s="252"/>
      <c r="C262" s="539" t="s">
        <v>366</v>
      </c>
      <c r="D262" s="540"/>
      <c r="E262" s="540"/>
      <c r="F262" s="540"/>
      <c r="G262" s="540"/>
      <c r="H262" s="540"/>
      <c r="I262" s="540"/>
      <c r="J262" s="540"/>
      <c r="K262" s="540"/>
      <c r="L262" s="541"/>
      <c r="N262" s="212"/>
      <c r="Q262" s="212"/>
    </row>
    <row r="263" spans="1:17" s="209" customFormat="1" ht="20.100000000000001" customHeight="1" x14ac:dyDescent="0.25">
      <c r="A263" s="252" t="b">
        <f t="shared" si="39"/>
        <v>1</v>
      </c>
      <c r="B263" s="252"/>
      <c r="C263" s="525" t="s">
        <v>367</v>
      </c>
      <c r="D263" s="526"/>
      <c r="E263" s="215" t="s">
        <v>368</v>
      </c>
      <c r="F263" s="217">
        <v>2</v>
      </c>
      <c r="G263" s="217">
        <v>5000</v>
      </c>
      <c r="H263" s="217">
        <f>F263*G263</f>
        <v>10000</v>
      </c>
      <c r="I263" s="239">
        <v>0.2</v>
      </c>
      <c r="J263" s="217">
        <f>ROUNDUP(G263*(100%+I263),-3)</f>
        <v>6000</v>
      </c>
      <c r="K263" s="217">
        <f>F263*J263</f>
        <v>12000</v>
      </c>
      <c r="L263" s="218"/>
      <c r="N263" s="212"/>
      <c r="Q263" s="212"/>
    </row>
    <row r="264" spans="1:17" s="209" customFormat="1" ht="20.100000000000001" customHeight="1" x14ac:dyDescent="0.25">
      <c r="A264" s="252" t="b">
        <f t="shared" si="39"/>
        <v>1</v>
      </c>
      <c r="B264" s="252"/>
      <c r="C264" s="537" t="s">
        <v>369</v>
      </c>
      <c r="D264" s="524"/>
      <c r="E264" s="215" t="s">
        <v>237</v>
      </c>
      <c r="F264" s="217">
        <v>2</v>
      </c>
      <c r="G264" s="244">
        <v>8000</v>
      </c>
      <c r="H264" s="217">
        <f>F264*G264</f>
        <v>16000</v>
      </c>
      <c r="I264" s="239">
        <v>0.2</v>
      </c>
      <c r="J264" s="217">
        <f>ROUNDUP(G264*(100%+I264),-3)</f>
        <v>10000</v>
      </c>
      <c r="K264" s="217">
        <f>F264*J264</f>
        <v>20000</v>
      </c>
      <c r="L264" s="218"/>
      <c r="N264" s="212"/>
      <c r="Q264" s="212"/>
    </row>
    <row r="265" spans="1:17" s="209" customFormat="1" ht="20.100000000000001" customHeight="1" x14ac:dyDescent="0.25">
      <c r="A265" s="252" t="b">
        <f t="shared" si="39"/>
        <v>1</v>
      </c>
      <c r="B265" s="252"/>
      <c r="C265" s="537" t="s">
        <v>370</v>
      </c>
      <c r="D265" s="524"/>
      <c r="E265" s="215" t="s">
        <v>368</v>
      </c>
      <c r="F265" s="217">
        <v>2</v>
      </c>
      <c r="G265" s="217">
        <v>5000</v>
      </c>
      <c r="H265" s="217">
        <f>F265*G265</f>
        <v>10000</v>
      </c>
      <c r="I265" s="239">
        <v>0.2</v>
      </c>
      <c r="J265" s="217">
        <f>ROUNDUP(G265*(100%+I265),-3)</f>
        <v>6000</v>
      </c>
      <c r="K265" s="217">
        <f>F265*J265</f>
        <v>12000</v>
      </c>
      <c r="L265" s="218"/>
      <c r="N265" s="212"/>
      <c r="P265" s="209" t="s">
        <v>371</v>
      </c>
      <c r="Q265" s="246" t="e">
        <f>SUM(H12:H22,H53:H71,H144:H177,H215:H219,H235:H246)</f>
        <v>#REF!</v>
      </c>
    </row>
    <row r="266" spans="1:17" s="209" customFormat="1" ht="20.100000000000001" customHeight="1" x14ac:dyDescent="0.25">
      <c r="A266" s="252" t="b">
        <f t="shared" si="39"/>
        <v>0</v>
      </c>
      <c r="B266" s="252"/>
      <c r="C266" s="566" t="s">
        <v>372</v>
      </c>
      <c r="D266" s="567"/>
      <c r="E266" s="232"/>
      <c r="F266" s="233"/>
      <c r="G266" s="233"/>
      <c r="H266" s="234" t="e">
        <f>H49+H140+H211+H231+H261+H263+H264+H265</f>
        <v>#REF!</v>
      </c>
      <c r="I266" s="233"/>
      <c r="J266" s="233"/>
      <c r="K266" s="234" t="e">
        <f>K49+K140+K211+K231+K261+K263+K264+K265</f>
        <v>#REF!</v>
      </c>
      <c r="L266" s="235"/>
      <c r="N266" s="212"/>
      <c r="P266" s="209" t="s">
        <v>373</v>
      </c>
      <c r="Q266" s="246" t="e">
        <f>SUM(K12:K22,K53:K71,K144:K177,K215:K219,K235:K246)</f>
        <v>#REF!</v>
      </c>
    </row>
  </sheetData>
  <sheetProtection password="CC37" sheet="1" selectLockedCells="1" selectUnlockedCells="1"/>
  <mergeCells count="293">
    <mergeCell ref="B233:B261"/>
    <mergeCell ref="C172:D172"/>
    <mergeCell ref="C260:D260"/>
    <mergeCell ref="C245:D245"/>
    <mergeCell ref="B213:B231"/>
    <mergeCell ref="C241:D241"/>
    <mergeCell ref="C132:D132"/>
    <mergeCell ref="C239:D239"/>
    <mergeCell ref="C244:D244"/>
    <mergeCell ref="C134:D134"/>
    <mergeCell ref="C240:D240"/>
    <mergeCell ref="C144:D144"/>
    <mergeCell ref="C136:D136"/>
    <mergeCell ref="C236:D236"/>
    <mergeCell ref="C235:D235"/>
    <mergeCell ref="C145:D145"/>
    <mergeCell ref="C143:D143"/>
    <mergeCell ref="C153:D153"/>
    <mergeCell ref="C155:D155"/>
    <mergeCell ref="C156:D156"/>
    <mergeCell ref="C162:D162"/>
    <mergeCell ref="C164:D164"/>
    <mergeCell ref="C158:D158"/>
    <mergeCell ref="C191:D191"/>
    <mergeCell ref="F2:F3"/>
    <mergeCell ref="C146:D146"/>
    <mergeCell ref="G2:H2"/>
    <mergeCell ref="M45:N45"/>
    <mergeCell ref="M46:N46"/>
    <mergeCell ref="M53:N53"/>
    <mergeCell ref="C94:D94"/>
    <mergeCell ref="C55:D55"/>
    <mergeCell ref="C70:D70"/>
    <mergeCell ref="C59:D59"/>
    <mergeCell ref="C2:D3"/>
    <mergeCell ref="C122:D122"/>
    <mergeCell ref="C77:D77"/>
    <mergeCell ref="C14:D14"/>
    <mergeCell ref="C15:D15"/>
    <mergeCell ref="C16:D16"/>
    <mergeCell ref="C64:D64"/>
    <mergeCell ref="C66:D66"/>
    <mergeCell ref="C80:D80"/>
    <mergeCell ref="C102:D102"/>
    <mergeCell ref="I2:I3"/>
    <mergeCell ref="L2:L3"/>
    <mergeCell ref="C4:L4"/>
    <mergeCell ref="J2:K2"/>
    <mergeCell ref="S189:T189"/>
    <mergeCell ref="S221:T221"/>
    <mergeCell ref="C224:D224"/>
    <mergeCell ref="C170:D170"/>
    <mergeCell ref="C168:D168"/>
    <mergeCell ref="C180:D180"/>
    <mergeCell ref="C173:D173"/>
    <mergeCell ref="C219:D219"/>
    <mergeCell ref="C178:D178"/>
    <mergeCell ref="C189:D189"/>
    <mergeCell ref="C223:D223"/>
    <mergeCell ref="C214:D214"/>
    <mergeCell ref="C196:D196"/>
    <mergeCell ref="C200:D200"/>
    <mergeCell ref="Q189:R189"/>
    <mergeCell ref="Q221:R221"/>
    <mergeCell ref="M214:O214"/>
    <mergeCell ref="C213:L213"/>
    <mergeCell ref="O189:P189"/>
    <mergeCell ref="C266:D266"/>
    <mergeCell ref="C253:D253"/>
    <mergeCell ref="C264:D264"/>
    <mergeCell ref="M219:O219"/>
    <mergeCell ref="C259:D259"/>
    <mergeCell ref="C193:D193"/>
    <mergeCell ref="C115:D115"/>
    <mergeCell ref="C195:D195"/>
    <mergeCell ref="C243:D243"/>
    <mergeCell ref="C138:D138"/>
    <mergeCell ref="C139:D139"/>
    <mergeCell ref="C265:D265"/>
    <mergeCell ref="C250:D250"/>
    <mergeCell ref="C225:D225"/>
    <mergeCell ref="C242:D242"/>
    <mergeCell ref="C258:D258"/>
    <mergeCell ref="C255:D255"/>
    <mergeCell ref="C229:D229"/>
    <mergeCell ref="C238:D238"/>
    <mergeCell ref="C248:D248"/>
    <mergeCell ref="M189:N189"/>
    <mergeCell ref="C230:D230"/>
    <mergeCell ref="C232:L232"/>
    <mergeCell ref="C237:D237"/>
    <mergeCell ref="B142:B211"/>
    <mergeCell ref="C234:D234"/>
    <mergeCell ref="C65:D65"/>
    <mergeCell ref="C22:D22"/>
    <mergeCell ref="C131:D131"/>
    <mergeCell ref="C45:D45"/>
    <mergeCell ref="B51:B140"/>
    <mergeCell ref="C175:D175"/>
    <mergeCell ref="C46:D46"/>
    <mergeCell ref="C101:D101"/>
    <mergeCell ref="B4:B49"/>
    <mergeCell ref="C47:D47"/>
    <mergeCell ref="C49:D49"/>
    <mergeCell ref="C33:D33"/>
    <mergeCell ref="C34:D34"/>
    <mergeCell ref="C35:D35"/>
    <mergeCell ref="C36:D36"/>
    <mergeCell ref="C39:D39"/>
    <mergeCell ref="C20:D20"/>
    <mergeCell ref="C6:D6"/>
    <mergeCell ref="C142:L142"/>
    <mergeCell ref="L115:L118"/>
    <mergeCell ref="C31:D31"/>
    <mergeCell ref="C98:D98"/>
    <mergeCell ref="A2:A3"/>
    <mergeCell ref="C58:D58"/>
    <mergeCell ref="C177:D177"/>
    <mergeCell ref="C199:D199"/>
    <mergeCell ref="C185:D185"/>
    <mergeCell ref="C186:D186"/>
    <mergeCell ref="C187:D187"/>
    <mergeCell ref="C198:D198"/>
    <mergeCell ref="C197:D197"/>
    <mergeCell ref="C106:D106"/>
    <mergeCell ref="C107:D107"/>
    <mergeCell ref="C21:D21"/>
    <mergeCell ref="C37:D37"/>
    <mergeCell ref="C30:D30"/>
    <mergeCell ref="C24:D24"/>
    <mergeCell ref="C25:D25"/>
    <mergeCell ref="C23:D23"/>
    <mergeCell ref="C26:D26"/>
    <mergeCell ref="C27:D27"/>
    <mergeCell ref="C72:D72"/>
    <mergeCell ref="C57:D57"/>
    <mergeCell ref="C105:D105"/>
    <mergeCell ref="C60:D60"/>
    <mergeCell ref="C97:D97"/>
    <mergeCell ref="C228:D228"/>
    <mergeCell ref="C227:D227"/>
    <mergeCell ref="C128:D128"/>
    <mergeCell ref="M202:N202"/>
    <mergeCell ref="C163:D163"/>
    <mergeCell ref="C194:D194"/>
    <mergeCell ref="C169:D169"/>
    <mergeCell ref="C182:D182"/>
    <mergeCell ref="C174:D174"/>
    <mergeCell ref="C157:D157"/>
    <mergeCell ref="C220:D220"/>
    <mergeCell ref="C221:D221"/>
    <mergeCell ref="C181:D181"/>
    <mergeCell ref="C183:D183"/>
    <mergeCell ref="C179:D179"/>
    <mergeCell ref="C192:D192"/>
    <mergeCell ref="C184:D184"/>
    <mergeCell ref="C190:D190"/>
    <mergeCell ref="C129:D129"/>
    <mergeCell ref="C137:D137"/>
    <mergeCell ref="C159:D159"/>
    <mergeCell ref="C165:D165"/>
    <mergeCell ref="C166:D166"/>
    <mergeCell ref="C161:D161"/>
    <mergeCell ref="C251:D251"/>
    <mergeCell ref="C216:D216"/>
    <mergeCell ref="C217:D217"/>
    <mergeCell ref="C218:D218"/>
    <mergeCell ref="C212:L212"/>
    <mergeCell ref="C51:L51"/>
    <mergeCell ref="C81:D81"/>
    <mergeCell ref="C202:D202"/>
    <mergeCell ref="E61:K61"/>
    <mergeCell ref="C201:D201"/>
    <mergeCell ref="C141:L141"/>
    <mergeCell ref="C188:D188"/>
    <mergeCell ref="C126:D126"/>
    <mergeCell ref="C176:D176"/>
    <mergeCell ref="L109:L110"/>
    <mergeCell ref="L102:L105"/>
    <mergeCell ref="C210:D210"/>
    <mergeCell ref="C150:D150"/>
    <mergeCell ref="C205:D205"/>
    <mergeCell ref="C154:D154"/>
    <mergeCell ref="C151:D151"/>
    <mergeCell ref="C206:D206"/>
    <mergeCell ref="C167:D167"/>
    <mergeCell ref="C171:D171"/>
    <mergeCell ref="C257:D257"/>
    <mergeCell ref="C247:D247"/>
    <mergeCell ref="C261:D261"/>
    <mergeCell ref="C263:D263"/>
    <mergeCell ref="O202:P202"/>
    <mergeCell ref="O221:P221"/>
    <mergeCell ref="C262:L262"/>
    <mergeCell ref="C249:D249"/>
    <mergeCell ref="C246:D246"/>
    <mergeCell ref="C208:D208"/>
    <mergeCell ref="C203:D203"/>
    <mergeCell ref="C256:D256"/>
    <mergeCell ref="C209:D209"/>
    <mergeCell ref="C215:D215"/>
    <mergeCell ref="C231:D231"/>
    <mergeCell ref="C252:D252"/>
    <mergeCell ref="C233:L233"/>
    <mergeCell ref="L254:L255"/>
    <mergeCell ref="C204:D204"/>
    <mergeCell ref="C207:D207"/>
    <mergeCell ref="C254:D254"/>
    <mergeCell ref="C222:D222"/>
    <mergeCell ref="C226:D226"/>
    <mergeCell ref="C211:D211"/>
    <mergeCell ref="L126:L128"/>
    <mergeCell ref="C71:D71"/>
    <mergeCell ref="C76:D76"/>
    <mergeCell ref="C93:D93"/>
    <mergeCell ref="C140:D140"/>
    <mergeCell ref="C90:D90"/>
    <mergeCell ref="C118:D118"/>
    <mergeCell ref="C103:D103"/>
    <mergeCell ref="C99:D99"/>
    <mergeCell ref="C112:D112"/>
    <mergeCell ref="C114:D114"/>
    <mergeCell ref="C125:D125"/>
    <mergeCell ref="C109:D109"/>
    <mergeCell ref="C116:D116"/>
    <mergeCell ref="C133:D133"/>
    <mergeCell ref="L92:L95"/>
    <mergeCell ref="L97:L100"/>
    <mergeCell ref="C148:D148"/>
    <mergeCell ref="C86:D86"/>
    <mergeCell ref="C147:D147"/>
    <mergeCell ref="C152:D152"/>
    <mergeCell ref="C149:D149"/>
    <mergeCell ref="C87:D87"/>
    <mergeCell ref="C135:D135"/>
    <mergeCell ref="C127:D127"/>
    <mergeCell ref="C160:D160"/>
    <mergeCell ref="C124:D124"/>
    <mergeCell ref="C95:D95"/>
    <mergeCell ref="C123:D123"/>
    <mergeCell ref="C117:D117"/>
    <mergeCell ref="C120:D120"/>
    <mergeCell ref="C119:D119"/>
    <mergeCell ref="C121:D121"/>
    <mergeCell ref="C111:D111"/>
    <mergeCell ref="C110:D110"/>
    <mergeCell ref="C108:D108"/>
    <mergeCell ref="C113:D113"/>
    <mergeCell ref="C104:D104"/>
    <mergeCell ref="C100:D100"/>
    <mergeCell ref="E2:E3"/>
    <mergeCell ref="C19:D19"/>
    <mergeCell ref="C12:D12"/>
    <mergeCell ref="C17:D17"/>
    <mergeCell ref="C52:D52"/>
    <mergeCell ref="C8:D8"/>
    <mergeCell ref="C28:D28"/>
    <mergeCell ref="C18:D18"/>
    <mergeCell ref="C7:D7"/>
    <mergeCell ref="C11:D11"/>
    <mergeCell ref="C10:D10"/>
    <mergeCell ref="C13:D13"/>
    <mergeCell ref="C44:D44"/>
    <mergeCell ref="C9:D9"/>
    <mergeCell ref="C48:D48"/>
    <mergeCell ref="C32:D32"/>
    <mergeCell ref="C38:D38"/>
    <mergeCell ref="C42:D42"/>
    <mergeCell ref="C40:D40"/>
    <mergeCell ref="C67:D67"/>
    <mergeCell ref="C69:D69"/>
    <mergeCell ref="C5:D5"/>
    <mergeCell ref="C53:D53"/>
    <mergeCell ref="C74:D74"/>
    <mergeCell ref="C61:D61"/>
    <mergeCell ref="C96:D96"/>
    <mergeCell ref="C75:D75"/>
    <mergeCell ref="C79:D79"/>
    <mergeCell ref="C54:D54"/>
    <mergeCell ref="C56:D56"/>
    <mergeCell ref="C43:D43"/>
    <mergeCell ref="C63:D63"/>
    <mergeCell ref="C73:D73"/>
    <mergeCell ref="C78:D78"/>
    <mergeCell ref="C29:D29"/>
    <mergeCell ref="C62:D62"/>
    <mergeCell ref="C91:D91"/>
    <mergeCell ref="C41:D41"/>
    <mergeCell ref="C50:L50"/>
    <mergeCell ref="C89:D89"/>
    <mergeCell ref="C68:D68"/>
    <mergeCell ref="C92:D92"/>
    <mergeCell ref="C88:D88"/>
  </mergeCells>
  <conditionalFormatting sqref="I77">
    <cfRule type="expression" priority="2" stopIfTrue="1">
      <formula>$G$77</formula>
    </cfRule>
  </conditionalFormatting>
  <dataValidations disablePrompts="1" count="9">
    <dataValidation type="list" allowBlank="1" showInputMessage="1" showErrorMessage="1" sqref="C75" xr:uid="{00000000-0002-0000-0000-000000000000}">
      <formula1>$M$74:$O$74</formula1>
    </dataValidation>
    <dataValidation type="list" allowBlank="1" showInputMessage="1" showErrorMessage="1" sqref="C80" xr:uid="{00000000-0002-0000-0000-000001000000}">
      <formula1>$M$80:$T$80</formula1>
    </dataValidation>
    <dataValidation type="list" allowBlank="1" showInputMessage="1" showErrorMessage="1" sqref="C77" xr:uid="{00000000-0002-0000-0000-000002000000}">
      <formula1>$M$77:$R$77</formula1>
    </dataValidation>
    <dataValidation type="list" allowBlank="1" showInputMessage="1" showErrorMessage="1" sqref="C78" xr:uid="{00000000-0002-0000-0000-000003000000}">
      <formula1>$M$78:$T$78</formula1>
    </dataValidation>
    <dataValidation type="list" allowBlank="1" showInputMessage="1" showErrorMessage="1" sqref="C79" xr:uid="{00000000-0002-0000-0000-000004000000}">
      <formula1>$M$79:$V$79</formula1>
    </dataValidation>
    <dataValidation type="list" allowBlank="1" showInputMessage="1" showErrorMessage="1" sqref="G77:G80" xr:uid="{00000000-0002-0000-0000-000005000000}">
      <formula1>$M$81:$N$81</formula1>
    </dataValidation>
    <dataValidation type="list" allowBlank="1" showInputMessage="1" showErrorMessage="1" sqref="C191" xr:uid="{00000000-0002-0000-0000-000006000000}">
      <formula1>$M$189:$T$189</formula1>
    </dataValidation>
    <dataValidation type="list" allowBlank="1" showInputMessage="1" showErrorMessage="1" sqref="G222" xr:uid="{00000000-0002-0000-0000-000007000000}">
      <formula1>$M$222:$T$222</formula1>
    </dataValidation>
    <dataValidation type="list" allowBlank="1" showInputMessage="1" showErrorMessage="1" sqref="C222:D222" xr:uid="{00000000-0002-0000-0000-000008000000}">
      <formula1>$M$223:$M$226</formula1>
    </dataValidation>
  </dataValidations>
  <pageMargins left="0.25" right="0.25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7"/>
  <sheetViews>
    <sheetView topLeftCell="A4" zoomScale="115" zoomScaleNormal="115" workbookViewId="0">
      <selection activeCell="I37" sqref="I37"/>
    </sheetView>
  </sheetViews>
  <sheetFormatPr defaultRowHeight="13.2" x14ac:dyDescent="0.25"/>
  <cols>
    <col min="1" max="1" width="67.109375" style="426" customWidth="1"/>
    <col min="2" max="2" width="9" style="427" customWidth="1"/>
    <col min="3" max="3" width="9.109375" style="427" customWidth="1"/>
    <col min="4" max="4" width="8.88671875" style="427" customWidth="1"/>
    <col min="5" max="5" width="9" style="427" customWidth="1"/>
    <col min="6" max="6" width="11.33203125" style="428" customWidth="1"/>
    <col min="7" max="7" width="20.5546875" style="360" customWidth="1"/>
    <col min="8" max="8" width="10.109375" style="366" customWidth="1"/>
    <col min="9" max="9" width="13.5546875" style="360" customWidth="1"/>
    <col min="10" max="10" width="12" style="366" customWidth="1"/>
    <col min="11" max="256" width="9.109375" style="360" customWidth="1"/>
  </cols>
  <sheetData>
    <row r="1" spans="1:15" ht="29.25" customHeight="1" x14ac:dyDescent="0.25">
      <c r="A1" s="614" t="s">
        <v>614</v>
      </c>
      <c r="B1" s="614"/>
      <c r="C1" s="614"/>
      <c r="D1" s="614"/>
      <c r="E1" s="614"/>
      <c r="F1" s="614"/>
      <c r="G1" s="377" t="s">
        <v>558</v>
      </c>
      <c r="H1" s="358" t="s">
        <v>563</v>
      </c>
      <c r="I1" s="359">
        <v>0</v>
      </c>
    </row>
    <row r="2" spans="1:15" ht="33" customHeight="1" thickBot="1" x14ac:dyDescent="0.3">
      <c r="A2" s="615"/>
      <c r="B2" s="615"/>
      <c r="C2" s="615"/>
      <c r="D2" s="615"/>
      <c r="E2" s="615"/>
      <c r="F2" s="615"/>
      <c r="G2" s="378" t="s">
        <v>559</v>
      </c>
      <c r="H2" s="361" t="s">
        <v>195</v>
      </c>
      <c r="I2" s="362">
        <v>0.5</v>
      </c>
      <c r="J2" s="366" t="s">
        <v>562</v>
      </c>
    </row>
    <row r="3" spans="1:15" ht="15" customHeight="1" thickBot="1" x14ac:dyDescent="0.3">
      <c r="A3" s="379" t="s">
        <v>0</v>
      </c>
      <c r="B3" s="380" t="s">
        <v>22</v>
      </c>
      <c r="C3" s="381" t="s">
        <v>184</v>
      </c>
      <c r="D3" s="381"/>
      <c r="E3" s="380" t="s">
        <v>476</v>
      </c>
      <c r="F3" s="382" t="s">
        <v>477</v>
      </c>
      <c r="G3" s="378" t="s">
        <v>557</v>
      </c>
      <c r="H3" s="361" t="s">
        <v>563</v>
      </c>
      <c r="I3" s="363">
        <v>0</v>
      </c>
      <c r="J3" s="382" t="s">
        <v>477</v>
      </c>
    </row>
    <row r="4" spans="1:15" ht="15" customHeight="1" thickBot="1" x14ac:dyDescent="0.3">
      <c r="A4" s="383"/>
      <c r="B4" s="384"/>
      <c r="C4" s="385"/>
      <c r="D4" s="385"/>
      <c r="E4" s="384"/>
      <c r="F4" s="386"/>
      <c r="G4" s="378" t="s">
        <v>560</v>
      </c>
      <c r="H4" s="361" t="s">
        <v>24</v>
      </c>
      <c r="I4" s="364">
        <v>0</v>
      </c>
    </row>
    <row r="5" spans="1:15" s="365" customFormat="1" ht="15.75" customHeight="1" thickBot="1" x14ac:dyDescent="0.3">
      <c r="A5" s="387" t="s">
        <v>478</v>
      </c>
      <c r="B5" s="388"/>
      <c r="C5" s="388"/>
      <c r="D5" s="388"/>
      <c r="E5" s="388"/>
      <c r="F5" s="389"/>
      <c r="G5" s="390" t="s">
        <v>561</v>
      </c>
      <c r="H5" s="361" t="s">
        <v>24</v>
      </c>
      <c r="I5" s="364">
        <v>0</v>
      </c>
      <c r="J5" s="434"/>
      <c r="K5" s="391"/>
      <c r="L5" s="391"/>
      <c r="M5" s="391"/>
      <c r="N5" s="391"/>
      <c r="O5" s="391"/>
    </row>
    <row r="6" spans="1:15" ht="15" customHeight="1" x14ac:dyDescent="0.25">
      <c r="A6" s="392" t="s">
        <v>511</v>
      </c>
      <c r="B6" s="393"/>
      <c r="C6" s="393"/>
      <c r="D6" s="393"/>
      <c r="E6" s="393"/>
      <c r="F6" s="394"/>
      <c r="G6" s="626" t="s">
        <v>582</v>
      </c>
      <c r="H6" s="627"/>
      <c r="I6" s="628"/>
    </row>
    <row r="7" spans="1:15" s="450" customFormat="1" x14ac:dyDescent="0.25">
      <c r="A7" s="444" t="s">
        <v>245</v>
      </c>
      <c r="B7" s="445" t="s">
        <v>243</v>
      </c>
      <c r="C7" s="445">
        <v>1</v>
      </c>
      <c r="D7" s="445">
        <v>25000</v>
      </c>
      <c r="E7" s="445">
        <v>32000</v>
      </c>
      <c r="F7" s="449">
        <f>C7*E7</f>
        <v>32000</v>
      </c>
      <c r="H7" s="448">
        <f>C7*D7</f>
        <v>25000</v>
      </c>
      <c r="I7" s="451"/>
      <c r="K7" s="452"/>
    </row>
    <row r="8" spans="1:15" s="450" customFormat="1" x14ac:dyDescent="0.25">
      <c r="A8" s="444" t="s">
        <v>628</v>
      </c>
      <c r="B8" s="445" t="s">
        <v>243</v>
      </c>
      <c r="C8" s="445">
        <v>1</v>
      </c>
      <c r="D8" s="445">
        <v>35000</v>
      </c>
      <c r="E8" s="445">
        <v>40000</v>
      </c>
      <c r="F8" s="449">
        <f>C8*E8</f>
        <v>40000</v>
      </c>
      <c r="H8" s="448">
        <f>C8*D8</f>
        <v>35000</v>
      </c>
      <c r="I8" s="451"/>
      <c r="K8" s="452"/>
    </row>
    <row r="9" spans="1:15" ht="15.75" customHeight="1" x14ac:dyDescent="0.25">
      <c r="A9" s="395" t="s">
        <v>202</v>
      </c>
      <c r="B9" s="396" t="s">
        <v>496</v>
      </c>
      <c r="C9" s="397">
        <v>1</v>
      </c>
      <c r="D9" s="397">
        <v>2500</v>
      </c>
      <c r="E9" s="397">
        <v>5000</v>
      </c>
      <c r="F9" s="398">
        <f>C9*E9</f>
        <v>5000</v>
      </c>
      <c r="H9" s="366">
        <f>C9*D9</f>
        <v>2500</v>
      </c>
      <c r="I9" s="367">
        <f>F9/H9*100-100</f>
        <v>100</v>
      </c>
      <c r="J9" s="366">
        <f>F9*1.05</f>
        <v>5250</v>
      </c>
    </row>
    <row r="10" spans="1:15" ht="15" customHeight="1" x14ac:dyDescent="0.25">
      <c r="A10" s="395" t="s">
        <v>621</v>
      </c>
      <c r="B10" s="396" t="s">
        <v>496</v>
      </c>
      <c r="C10" s="397">
        <v>1</v>
      </c>
      <c r="D10" s="397">
        <v>2800</v>
      </c>
      <c r="E10" s="397">
        <v>4000</v>
      </c>
      <c r="F10" s="398">
        <f t="shared" ref="F10:F16" si="0">C10*E10</f>
        <v>4000</v>
      </c>
      <c r="H10" s="366">
        <f t="shared" ref="H10:H16" si="1">C10*D10</f>
        <v>2800</v>
      </c>
      <c r="I10" s="367">
        <v>42.86</v>
      </c>
      <c r="J10" s="366">
        <f t="shared" ref="J10:J16" si="2">F10*1.05</f>
        <v>4200</v>
      </c>
    </row>
    <row r="11" spans="1:15" ht="15" customHeight="1" x14ac:dyDescent="0.25">
      <c r="A11" s="395" t="s">
        <v>204</v>
      </c>
      <c r="B11" s="397" t="s">
        <v>23</v>
      </c>
      <c r="C11" s="399">
        <f>C19</f>
        <v>0</v>
      </c>
      <c r="D11" s="397">
        <v>50</v>
      </c>
      <c r="E11" s="397">
        <v>100</v>
      </c>
      <c r="F11" s="398">
        <f t="shared" si="0"/>
        <v>0</v>
      </c>
      <c r="H11" s="366">
        <f t="shared" si="1"/>
        <v>0</v>
      </c>
      <c r="I11" s="367">
        <v>100</v>
      </c>
      <c r="J11" s="366">
        <f t="shared" si="2"/>
        <v>0</v>
      </c>
    </row>
    <row r="12" spans="1:15" ht="15" customHeight="1" x14ac:dyDescent="0.25">
      <c r="A12" s="395" t="s">
        <v>622</v>
      </c>
      <c r="B12" s="397" t="s">
        <v>206</v>
      </c>
      <c r="C12" s="399">
        <f>C20</f>
        <v>0</v>
      </c>
      <c r="D12" s="397">
        <v>200</v>
      </c>
      <c r="E12" s="397">
        <v>400</v>
      </c>
      <c r="F12" s="398">
        <f t="shared" si="0"/>
        <v>0</v>
      </c>
      <c r="H12" s="366">
        <f t="shared" si="1"/>
        <v>0</v>
      </c>
      <c r="I12" s="367">
        <v>100</v>
      </c>
      <c r="J12" s="366">
        <f t="shared" si="2"/>
        <v>0</v>
      </c>
    </row>
    <row r="13" spans="1:15" ht="15" customHeight="1" x14ac:dyDescent="0.25">
      <c r="A13" s="395" t="s">
        <v>623</v>
      </c>
      <c r="B13" s="397" t="s">
        <v>206</v>
      </c>
      <c r="C13" s="399">
        <f>C21</f>
        <v>0</v>
      </c>
      <c r="D13" s="397">
        <v>200</v>
      </c>
      <c r="E13" s="397">
        <v>400</v>
      </c>
      <c r="F13" s="398">
        <f t="shared" si="0"/>
        <v>0</v>
      </c>
      <c r="H13" s="366">
        <f t="shared" si="1"/>
        <v>0</v>
      </c>
      <c r="I13" s="367">
        <v>100</v>
      </c>
      <c r="J13" s="366">
        <f t="shared" si="2"/>
        <v>0</v>
      </c>
    </row>
    <row r="14" spans="1:15" ht="15" customHeight="1" x14ac:dyDescent="0.25">
      <c r="A14" s="395" t="s">
        <v>624</v>
      </c>
      <c r="B14" s="397" t="s">
        <v>10</v>
      </c>
      <c r="C14" s="399">
        <f>C22</f>
        <v>5</v>
      </c>
      <c r="D14" s="397">
        <v>3300</v>
      </c>
      <c r="E14" s="397">
        <v>5000</v>
      </c>
      <c r="F14" s="398">
        <f t="shared" si="0"/>
        <v>25000</v>
      </c>
      <c r="H14" s="366">
        <f t="shared" si="1"/>
        <v>16500</v>
      </c>
      <c r="I14" s="367" t="e">
        <v>#DIV/0!</v>
      </c>
      <c r="J14" s="366">
        <f t="shared" si="2"/>
        <v>26250</v>
      </c>
    </row>
    <row r="15" spans="1:15" x14ac:dyDescent="0.25">
      <c r="A15" s="395" t="s">
        <v>625</v>
      </c>
      <c r="B15" s="397" t="s">
        <v>206</v>
      </c>
      <c r="C15" s="399">
        <f>C27</f>
        <v>0</v>
      </c>
      <c r="D15" s="397">
        <v>3200</v>
      </c>
      <c r="E15" s="397">
        <v>6500</v>
      </c>
      <c r="F15" s="398">
        <f t="shared" si="0"/>
        <v>0</v>
      </c>
      <c r="H15" s="366">
        <f t="shared" si="1"/>
        <v>0</v>
      </c>
      <c r="I15" s="367">
        <v>103.13</v>
      </c>
      <c r="J15" s="366">
        <f t="shared" si="2"/>
        <v>0</v>
      </c>
    </row>
    <row r="16" spans="1:15" x14ac:dyDescent="0.25">
      <c r="A16" s="395" t="s">
        <v>497</v>
      </c>
      <c r="B16" s="397" t="s">
        <v>10</v>
      </c>
      <c r="C16" s="399">
        <f>C29</f>
        <v>0</v>
      </c>
      <c r="D16" s="397">
        <v>1700</v>
      </c>
      <c r="E16" s="397">
        <v>3000</v>
      </c>
      <c r="F16" s="398">
        <f t="shared" si="0"/>
        <v>0</v>
      </c>
      <c r="H16" s="366">
        <f t="shared" si="1"/>
        <v>0</v>
      </c>
      <c r="I16" s="367" t="e">
        <f>F16/H16*100-100</f>
        <v>#DIV/0!</v>
      </c>
      <c r="J16" s="366">
        <f t="shared" si="2"/>
        <v>0</v>
      </c>
    </row>
    <row r="17" spans="1:10" x14ac:dyDescent="0.25">
      <c r="A17" s="395"/>
      <c r="B17" s="397"/>
      <c r="C17" s="399"/>
      <c r="D17" s="397"/>
      <c r="E17" s="400" t="s">
        <v>181</v>
      </c>
      <c r="F17" s="401">
        <f>SUM(F7:F16)</f>
        <v>106000</v>
      </c>
      <c r="G17" s="401">
        <f>SUM(G7:G16)</f>
        <v>0</v>
      </c>
      <c r="H17" s="401">
        <f>SUM(H7:H16)</f>
        <v>81800</v>
      </c>
      <c r="I17" s="367">
        <f t="shared" ref="I17:I91" si="3">F17/H17*100-100</f>
        <v>29.584352078239618</v>
      </c>
      <c r="J17" s="368">
        <f>F17*1.05</f>
        <v>111300</v>
      </c>
    </row>
    <row r="18" spans="1:10" x14ac:dyDescent="0.25">
      <c r="A18" s="629" t="s">
        <v>512</v>
      </c>
      <c r="B18" s="630"/>
      <c r="C18" s="630"/>
      <c r="D18" s="630"/>
      <c r="E18" s="630"/>
      <c r="F18" s="630"/>
      <c r="I18" s="367"/>
    </row>
    <row r="19" spans="1:10" x14ac:dyDescent="0.25">
      <c r="A19" s="402" t="s">
        <v>595</v>
      </c>
      <c r="B19" s="397" t="s">
        <v>23</v>
      </c>
      <c r="C19" s="403">
        <f>I1+J1</f>
        <v>0</v>
      </c>
      <c r="D19" s="404">
        <v>23.5</v>
      </c>
      <c r="E19" s="397">
        <v>38</v>
      </c>
      <c r="F19" s="398">
        <f>C19*E19</f>
        <v>0</v>
      </c>
      <c r="H19" s="366">
        <f>C19*D19</f>
        <v>0</v>
      </c>
      <c r="I19" s="367" t="e">
        <f t="shared" si="3"/>
        <v>#DIV/0!</v>
      </c>
      <c r="J19" s="366">
        <f>F19*1.05</f>
        <v>0</v>
      </c>
    </row>
    <row r="20" spans="1:10" x14ac:dyDescent="0.25">
      <c r="A20" s="402" t="s">
        <v>218</v>
      </c>
      <c r="B20" s="397" t="s">
        <v>206</v>
      </c>
      <c r="C20" s="399">
        <f>_xlfn.CEILING.MATH(I1*0.3*1.2,0)</f>
        <v>0</v>
      </c>
      <c r="D20" s="397">
        <v>600</v>
      </c>
      <c r="E20" s="397">
        <v>650</v>
      </c>
      <c r="F20" s="398">
        <f t="shared" ref="F20:F30" si="4">C20*E20</f>
        <v>0</v>
      </c>
      <c r="H20" s="366">
        <f t="shared" ref="H20:H29" si="5">C20*D20</f>
        <v>0</v>
      </c>
      <c r="I20" s="367" t="e">
        <f t="shared" si="3"/>
        <v>#DIV/0!</v>
      </c>
      <c r="J20" s="366">
        <f t="shared" ref="J20:J37" si="6">F20*1.05</f>
        <v>0</v>
      </c>
    </row>
    <row r="21" spans="1:10" x14ac:dyDescent="0.25">
      <c r="A21" s="402" t="s">
        <v>594</v>
      </c>
      <c r="B21" s="397" t="s">
        <v>206</v>
      </c>
      <c r="C21" s="399">
        <f>ROUNDUP(I1*0.2*1.2,0)</f>
        <v>0</v>
      </c>
      <c r="D21" s="397">
        <v>1400</v>
      </c>
      <c r="E21" s="397">
        <v>1700</v>
      </c>
      <c r="F21" s="398">
        <f t="shared" si="4"/>
        <v>0</v>
      </c>
      <c r="H21" s="366">
        <f t="shared" si="5"/>
        <v>0</v>
      </c>
      <c r="I21" s="367" t="e">
        <f t="shared" si="3"/>
        <v>#DIV/0!</v>
      </c>
      <c r="J21" s="366">
        <f t="shared" si="6"/>
        <v>0</v>
      </c>
    </row>
    <row r="22" spans="1:10" x14ac:dyDescent="0.25">
      <c r="A22" s="402" t="s">
        <v>220</v>
      </c>
      <c r="B22" s="397" t="s">
        <v>479</v>
      </c>
      <c r="C22" s="405">
        <f>[3]Калькулятор!E17</f>
        <v>5</v>
      </c>
      <c r="D22" s="397">
        <v>3500</v>
      </c>
      <c r="E22" s="397">
        <v>5500</v>
      </c>
      <c r="F22" s="398">
        <f t="shared" si="4"/>
        <v>27500</v>
      </c>
      <c r="H22" s="366">
        <f t="shared" si="5"/>
        <v>17500</v>
      </c>
      <c r="I22" s="367">
        <f t="shared" si="3"/>
        <v>57.142857142857139</v>
      </c>
      <c r="J22" s="366">
        <f t="shared" si="6"/>
        <v>28875</v>
      </c>
    </row>
    <row r="23" spans="1:10" x14ac:dyDescent="0.25">
      <c r="A23" s="402" t="s">
        <v>222</v>
      </c>
      <c r="B23" s="397" t="s">
        <v>217</v>
      </c>
      <c r="C23" s="399">
        <f>ROUNDUP(I3/40,0)</f>
        <v>0</v>
      </c>
      <c r="D23" s="397">
        <v>3850</v>
      </c>
      <c r="E23" s="397">
        <v>5000</v>
      </c>
      <c r="F23" s="398">
        <f t="shared" si="4"/>
        <v>0</v>
      </c>
      <c r="G23" s="360" t="s">
        <v>480</v>
      </c>
      <c r="H23" s="366">
        <f t="shared" si="5"/>
        <v>0</v>
      </c>
      <c r="I23" s="367" t="e">
        <f t="shared" si="3"/>
        <v>#DIV/0!</v>
      </c>
      <c r="J23" s="366">
        <f t="shared" si="6"/>
        <v>0</v>
      </c>
    </row>
    <row r="24" spans="1:10" x14ac:dyDescent="0.25">
      <c r="A24" s="406" t="s">
        <v>593</v>
      </c>
      <c r="B24" s="397" t="s">
        <v>212</v>
      </c>
      <c r="C24" s="399">
        <f>I3*20*0.888*1.2/1000+I4*4*0.888*1.2/1000+I5*6*0.888*1.2/1000+(I3*20*0.888*1.2/1000+I4*4*0.888*1.2/1000+I5*6*0.888*1.2/1000)*0.2</f>
        <v>0</v>
      </c>
      <c r="D24" s="397">
        <v>38000</v>
      </c>
      <c r="E24" s="397">
        <f>D24*1.3</f>
        <v>49400</v>
      </c>
      <c r="F24" s="398">
        <f t="shared" si="4"/>
        <v>0</v>
      </c>
      <c r="H24" s="366">
        <f t="shared" si="5"/>
        <v>0</v>
      </c>
      <c r="I24" s="367" t="e">
        <f t="shared" si="3"/>
        <v>#DIV/0!</v>
      </c>
      <c r="J24" s="366">
        <f t="shared" si="6"/>
        <v>0</v>
      </c>
    </row>
    <row r="25" spans="1:10" x14ac:dyDescent="0.25">
      <c r="A25" s="406" t="s">
        <v>226</v>
      </c>
      <c r="B25" s="397" t="s">
        <v>344</v>
      </c>
      <c r="C25" s="399">
        <f>ROUNDUP(I3*10/500,0)</f>
        <v>0</v>
      </c>
      <c r="D25" s="397">
        <v>950</v>
      </c>
      <c r="E25" s="397">
        <v>1250</v>
      </c>
      <c r="F25" s="398">
        <f t="shared" si="4"/>
        <v>0</v>
      </c>
      <c r="H25" s="366">
        <f t="shared" si="5"/>
        <v>0</v>
      </c>
      <c r="I25" s="367" t="e">
        <f t="shared" si="3"/>
        <v>#DIV/0!</v>
      </c>
      <c r="J25" s="366">
        <f t="shared" si="6"/>
        <v>0</v>
      </c>
    </row>
    <row r="26" spans="1:10" x14ac:dyDescent="0.25">
      <c r="A26" s="406" t="s">
        <v>481</v>
      </c>
      <c r="B26" s="397" t="s">
        <v>10</v>
      </c>
      <c r="C26" s="399">
        <f>C23*0.01*1000/5*2</f>
        <v>0</v>
      </c>
      <c r="D26" s="397">
        <v>500</v>
      </c>
      <c r="E26" s="397">
        <v>750</v>
      </c>
      <c r="F26" s="398">
        <f t="shared" si="4"/>
        <v>0</v>
      </c>
      <c r="G26" s="360" t="s">
        <v>480</v>
      </c>
      <c r="H26" s="366">
        <f t="shared" si="5"/>
        <v>0</v>
      </c>
      <c r="I26" s="367" t="e">
        <f t="shared" si="3"/>
        <v>#DIV/0!</v>
      </c>
      <c r="J26" s="366">
        <f t="shared" si="6"/>
        <v>0</v>
      </c>
    </row>
    <row r="27" spans="1:10" x14ac:dyDescent="0.25">
      <c r="A27" s="406" t="s">
        <v>228</v>
      </c>
      <c r="B27" s="397" t="s">
        <v>206</v>
      </c>
      <c r="C27" s="399">
        <f>(I3*0.2+I4*0.2*0.2+I5*0.45*0.25)*1.1</f>
        <v>0</v>
      </c>
      <c r="D27" s="397">
        <v>4200</v>
      </c>
      <c r="E27" s="397">
        <v>4800</v>
      </c>
      <c r="F27" s="398">
        <f t="shared" si="4"/>
        <v>0</v>
      </c>
      <c r="H27" s="366">
        <f t="shared" si="5"/>
        <v>0</v>
      </c>
      <c r="I27" s="367" t="e">
        <f t="shared" si="3"/>
        <v>#DIV/0!</v>
      </c>
      <c r="J27" s="366">
        <f t="shared" si="6"/>
        <v>0</v>
      </c>
    </row>
    <row r="28" spans="1:10" x14ac:dyDescent="0.25">
      <c r="A28" s="406" t="s">
        <v>229</v>
      </c>
      <c r="B28" s="397" t="s">
        <v>10</v>
      </c>
      <c r="C28" s="399">
        <v>0</v>
      </c>
      <c r="D28" s="397">
        <v>1950</v>
      </c>
      <c r="E28" s="397">
        <v>2400</v>
      </c>
      <c r="F28" s="398">
        <f t="shared" si="4"/>
        <v>0</v>
      </c>
      <c r="H28" s="366">
        <f t="shared" si="5"/>
        <v>0</v>
      </c>
      <c r="I28" s="367"/>
      <c r="J28" s="366">
        <f t="shared" si="6"/>
        <v>0</v>
      </c>
    </row>
    <row r="29" spans="1:10" x14ac:dyDescent="0.25">
      <c r="A29" s="406" t="s">
        <v>602</v>
      </c>
      <c r="B29" s="397" t="s">
        <v>10</v>
      </c>
      <c r="C29" s="399"/>
      <c r="D29" s="397">
        <v>2000</v>
      </c>
      <c r="E29" s="397">
        <v>3300</v>
      </c>
      <c r="F29" s="398">
        <f t="shared" si="4"/>
        <v>0</v>
      </c>
      <c r="H29" s="366">
        <f t="shared" si="5"/>
        <v>0</v>
      </c>
      <c r="I29" s="367"/>
      <c r="J29" s="366">
        <f t="shared" si="6"/>
        <v>0</v>
      </c>
    </row>
    <row r="30" spans="1:10" ht="21.75" customHeight="1" x14ac:dyDescent="0.25">
      <c r="A30" s="406" t="s">
        <v>230</v>
      </c>
      <c r="B30" s="397" t="s">
        <v>479</v>
      </c>
      <c r="C30" s="399">
        <f>ROUNDUP((K3*0.25+I4*0.25*2+I5*0.5*2)*0.04*1.4,0)</f>
        <v>0</v>
      </c>
      <c r="D30" s="397">
        <v>14000</v>
      </c>
      <c r="E30" s="397">
        <v>18000</v>
      </c>
      <c r="F30" s="398">
        <f t="shared" si="4"/>
        <v>0</v>
      </c>
      <c r="G30" s="407" t="s">
        <v>550</v>
      </c>
      <c r="H30" s="366">
        <f>C30*D30</f>
        <v>0</v>
      </c>
      <c r="I30" s="367" t="e">
        <f t="shared" si="3"/>
        <v>#DIV/0!</v>
      </c>
      <c r="J30" s="366">
        <f t="shared" si="6"/>
        <v>0</v>
      </c>
    </row>
    <row r="31" spans="1:10" x14ac:dyDescent="0.25">
      <c r="A31" s="395" t="s">
        <v>232</v>
      </c>
      <c r="B31" s="397" t="s">
        <v>496</v>
      </c>
      <c r="C31" s="397">
        <v>3</v>
      </c>
      <c r="D31" s="397">
        <v>16000</v>
      </c>
      <c r="E31" s="397">
        <v>18000</v>
      </c>
      <c r="F31" s="398">
        <f>C31*E31</f>
        <v>54000</v>
      </c>
      <c r="H31" s="366">
        <f>C31*D31</f>
        <v>48000</v>
      </c>
      <c r="I31" s="367">
        <f>F31/H31*100-100</f>
        <v>12.5</v>
      </c>
      <c r="J31" s="366">
        <f t="shared" si="6"/>
        <v>56700</v>
      </c>
    </row>
    <row r="32" spans="1:10" x14ac:dyDescent="0.25">
      <c r="A32" s="395" t="s">
        <v>239</v>
      </c>
      <c r="B32" s="397" t="s">
        <v>240</v>
      </c>
      <c r="C32" s="397">
        <v>2</v>
      </c>
      <c r="D32" s="397">
        <v>1200</v>
      </c>
      <c r="E32" s="397">
        <v>1500</v>
      </c>
      <c r="F32" s="398">
        <f>C32*E32</f>
        <v>3000</v>
      </c>
      <c r="H32" s="366">
        <f>C32*D32</f>
        <v>2400</v>
      </c>
      <c r="I32" s="367">
        <f>F32/H32*100-100</f>
        <v>25</v>
      </c>
      <c r="J32" s="366">
        <f t="shared" si="6"/>
        <v>3150</v>
      </c>
    </row>
    <row r="33" spans="1:10" x14ac:dyDescent="0.25">
      <c r="A33" s="395" t="s">
        <v>241</v>
      </c>
      <c r="B33" s="397" t="s">
        <v>496</v>
      </c>
      <c r="C33" s="397">
        <v>1</v>
      </c>
      <c r="D33" s="397">
        <v>15000</v>
      </c>
      <c r="E33" s="397">
        <v>18000</v>
      </c>
      <c r="F33" s="398">
        <f>C33*E33</f>
        <v>18000</v>
      </c>
      <c r="H33" s="366">
        <f>C33*D33</f>
        <v>15000</v>
      </c>
      <c r="I33" s="367">
        <f>F33/H33*100-100</f>
        <v>20</v>
      </c>
      <c r="J33" s="366">
        <f t="shared" si="6"/>
        <v>18900</v>
      </c>
    </row>
    <row r="34" spans="1:10" x14ac:dyDescent="0.25">
      <c r="A34" s="395" t="s">
        <v>507</v>
      </c>
      <c r="B34" s="397"/>
      <c r="C34" s="397"/>
      <c r="D34" s="397">
        <v>10000</v>
      </c>
      <c r="E34" s="397">
        <v>15000</v>
      </c>
      <c r="F34" s="398">
        <f>E34</f>
        <v>15000</v>
      </c>
      <c r="H34" s="366">
        <f>C34*D34</f>
        <v>0</v>
      </c>
      <c r="I34" s="367"/>
      <c r="J34" s="366">
        <f t="shared" si="6"/>
        <v>15750</v>
      </c>
    </row>
    <row r="35" spans="1:10" x14ac:dyDescent="0.25">
      <c r="A35" s="395" t="s">
        <v>588</v>
      </c>
      <c r="B35" s="397"/>
      <c r="C35" s="397"/>
      <c r="D35" s="397"/>
      <c r="E35" s="397"/>
      <c r="F35" s="401">
        <f>SUM(F17:F34)*0.11</f>
        <v>24585</v>
      </c>
      <c r="G35" s="401">
        <f>SUM(G17:G34)*0.11</f>
        <v>0</v>
      </c>
      <c r="H35" s="401">
        <f>SUM(H17:H34)*0.11</f>
        <v>18117</v>
      </c>
      <c r="I35" s="367">
        <f>F35/H35*100-100</f>
        <v>35.701275045537358</v>
      </c>
      <c r="J35" s="368">
        <f t="shared" si="6"/>
        <v>25814.25</v>
      </c>
    </row>
    <row r="36" spans="1:10" ht="15" customHeight="1" x14ac:dyDescent="0.25">
      <c r="A36" s="616" t="s">
        <v>181</v>
      </c>
      <c r="B36" s="617"/>
      <c r="C36" s="617"/>
      <c r="D36" s="617"/>
      <c r="E36" s="618"/>
      <c r="F36" s="401">
        <f>SUM(F19:F35)</f>
        <v>142085</v>
      </c>
      <c r="G36" s="401">
        <f>SUM(G19:G35)</f>
        <v>0</v>
      </c>
      <c r="H36" s="401">
        <f>SUM(H19:H35)</f>
        <v>101017</v>
      </c>
      <c r="I36" s="367">
        <f t="shared" si="3"/>
        <v>40.654543294692985</v>
      </c>
      <c r="J36" s="368">
        <f t="shared" si="6"/>
        <v>149189.25</v>
      </c>
    </row>
    <row r="37" spans="1:10" ht="15" customHeight="1" thickBot="1" x14ac:dyDescent="0.3">
      <c r="A37" s="635" t="s">
        <v>513</v>
      </c>
      <c r="B37" s="636"/>
      <c r="C37" s="636"/>
      <c r="D37" s="636"/>
      <c r="E37" s="637"/>
      <c r="F37" s="408">
        <f>F17+F36</f>
        <v>248085</v>
      </c>
      <c r="G37" s="401">
        <f>G17+G36</f>
        <v>0</v>
      </c>
      <c r="H37" s="401">
        <f>H17+H36</f>
        <v>182817</v>
      </c>
      <c r="I37" s="367"/>
      <c r="J37" s="368">
        <f t="shared" si="6"/>
        <v>260489.25</v>
      </c>
    </row>
    <row r="38" spans="1:10" ht="14.4" thickBot="1" x14ac:dyDescent="0.3">
      <c r="A38" s="387" t="s">
        <v>482</v>
      </c>
      <c r="B38" s="409"/>
      <c r="C38" s="409"/>
      <c r="D38" s="409"/>
      <c r="E38" s="409"/>
      <c r="F38" s="410"/>
      <c r="I38" s="367"/>
      <c r="J38" s="434"/>
    </row>
    <row r="39" spans="1:10" ht="13.8" x14ac:dyDescent="0.25">
      <c r="A39" s="392" t="s">
        <v>511</v>
      </c>
      <c r="B39" s="393"/>
      <c r="C39" s="393"/>
      <c r="D39" s="393"/>
      <c r="E39" s="393"/>
      <c r="F39" s="394"/>
      <c r="I39" s="367"/>
    </row>
    <row r="40" spans="1:10" x14ac:dyDescent="0.25">
      <c r="A40" s="395" t="s">
        <v>251</v>
      </c>
      <c r="B40" s="397" t="s">
        <v>23</v>
      </c>
      <c r="C40" s="411" t="e">
        <f>#REF!</f>
        <v>#REF!</v>
      </c>
      <c r="D40" s="397">
        <v>100</v>
      </c>
      <c r="E40" s="397">
        <v>250</v>
      </c>
      <c r="F40" s="398" t="e">
        <f>C40*E40</f>
        <v>#REF!</v>
      </c>
      <c r="H40" s="366" t="e">
        <f>C40*D40</f>
        <v>#REF!</v>
      </c>
      <c r="I40" s="367" t="e">
        <f t="shared" si="3"/>
        <v>#REF!</v>
      </c>
      <c r="J40" s="366" t="e">
        <f>F40*1.05</f>
        <v>#REF!</v>
      </c>
    </row>
    <row r="41" spans="1:10" x14ac:dyDescent="0.25">
      <c r="A41" s="395" t="s">
        <v>252</v>
      </c>
      <c r="B41" s="397" t="s">
        <v>498</v>
      </c>
      <c r="C41" s="412" t="e">
        <f>#REF!+#REF!</f>
        <v>#REF!</v>
      </c>
      <c r="D41" s="397">
        <v>150</v>
      </c>
      <c r="E41" s="397">
        <v>200</v>
      </c>
      <c r="F41" s="398" t="e">
        <f t="shared" ref="F41:F51" si="7">C41*E41</f>
        <v>#REF!</v>
      </c>
      <c r="H41" s="366" t="e">
        <f t="shared" ref="H41:H51" si="8">C41*D41</f>
        <v>#REF!</v>
      </c>
      <c r="I41" s="367" t="e">
        <f t="shared" si="3"/>
        <v>#REF!</v>
      </c>
      <c r="J41" s="366" t="e">
        <f t="shared" ref="J41:J75" si="9">F41*1.05</f>
        <v>#REF!</v>
      </c>
    </row>
    <row r="42" spans="1:10" x14ac:dyDescent="0.25">
      <c r="A42" s="395" t="s">
        <v>253</v>
      </c>
      <c r="B42" s="397" t="s">
        <v>498</v>
      </c>
      <c r="C42" s="412">
        <v>0</v>
      </c>
      <c r="D42" s="397">
        <v>150</v>
      </c>
      <c r="E42" s="397">
        <v>300</v>
      </c>
      <c r="F42" s="398">
        <f t="shared" si="7"/>
        <v>0</v>
      </c>
      <c r="H42" s="366">
        <f t="shared" si="8"/>
        <v>0</v>
      </c>
      <c r="I42" s="367"/>
      <c r="J42" s="366">
        <f t="shared" si="9"/>
        <v>0</v>
      </c>
    </row>
    <row r="43" spans="1:10" x14ac:dyDescent="0.25">
      <c r="A43" s="395" t="s">
        <v>499</v>
      </c>
      <c r="B43" s="404" t="s">
        <v>206</v>
      </c>
      <c r="C43" s="412" t="e">
        <f>C56+C60</f>
        <v>#REF!</v>
      </c>
      <c r="D43" s="397">
        <v>3100</v>
      </c>
      <c r="E43" s="397">
        <v>5000</v>
      </c>
      <c r="F43" s="398" t="e">
        <f t="shared" si="7"/>
        <v>#REF!</v>
      </c>
      <c r="H43" s="366" t="e">
        <f t="shared" si="8"/>
        <v>#REF!</v>
      </c>
      <c r="I43" s="367" t="e">
        <f t="shared" si="3"/>
        <v>#REF!</v>
      </c>
      <c r="J43" s="366" t="e">
        <f t="shared" si="9"/>
        <v>#REF!</v>
      </c>
    </row>
    <row r="44" spans="1:10" ht="26.4" x14ac:dyDescent="0.25">
      <c r="A44" s="395" t="s">
        <v>500</v>
      </c>
      <c r="B44" s="397" t="s">
        <v>23</v>
      </c>
      <c r="C44" s="411" t="e">
        <f>#REF!</f>
        <v>#REF!</v>
      </c>
      <c r="D44" s="397">
        <f>G44</f>
        <v>1500</v>
      </c>
      <c r="E44" s="397">
        <f>D44*1.35</f>
        <v>2025.0000000000002</v>
      </c>
      <c r="F44" s="398" t="e">
        <f t="shared" si="7"/>
        <v>#REF!</v>
      </c>
      <c r="G44" s="360">
        <f>550+200+50+50+100+100+450</f>
        <v>1500</v>
      </c>
      <c r="H44" s="366" t="e">
        <f t="shared" si="8"/>
        <v>#REF!</v>
      </c>
      <c r="I44" s="367"/>
      <c r="J44" s="366" t="e">
        <f t="shared" si="9"/>
        <v>#REF!</v>
      </c>
    </row>
    <row r="45" spans="1:10" x14ac:dyDescent="0.25">
      <c r="A45" s="395" t="s">
        <v>626</v>
      </c>
      <c r="B45" s="397" t="s">
        <v>23</v>
      </c>
      <c r="C45" s="411" t="e">
        <f>#REF!</f>
        <v>#REF!</v>
      </c>
      <c r="D45" s="397">
        <v>550</v>
      </c>
      <c r="E45" s="397">
        <v>750</v>
      </c>
      <c r="F45" s="398" t="e">
        <f t="shared" si="7"/>
        <v>#REF!</v>
      </c>
      <c r="H45" s="366" t="e">
        <f t="shared" si="8"/>
        <v>#REF!</v>
      </c>
      <c r="I45" s="367"/>
      <c r="J45" s="366" t="e">
        <f t="shared" si="9"/>
        <v>#REF!</v>
      </c>
    </row>
    <row r="46" spans="1:10" x14ac:dyDescent="0.25">
      <c r="A46" s="395" t="s">
        <v>514</v>
      </c>
      <c r="B46" s="397" t="s">
        <v>23</v>
      </c>
      <c r="C46" s="413" t="e">
        <f>#REF!+#REF!</f>
        <v>#REF!</v>
      </c>
      <c r="D46" s="397">
        <v>450</v>
      </c>
      <c r="E46" s="397">
        <v>500</v>
      </c>
      <c r="F46" s="398" t="e">
        <f t="shared" si="7"/>
        <v>#REF!</v>
      </c>
      <c r="H46" s="366" t="e">
        <f t="shared" si="8"/>
        <v>#REF!</v>
      </c>
      <c r="I46" s="367" t="e">
        <f t="shared" si="3"/>
        <v>#REF!</v>
      </c>
      <c r="J46" s="366" t="e">
        <f t="shared" si="9"/>
        <v>#REF!</v>
      </c>
    </row>
    <row r="47" spans="1:10" x14ac:dyDescent="0.25">
      <c r="A47" s="395" t="s">
        <v>515</v>
      </c>
      <c r="B47" s="397" t="s">
        <v>23</v>
      </c>
      <c r="C47" s="413" t="e">
        <f>#REF!</f>
        <v>#REF!</v>
      </c>
      <c r="D47" s="397">
        <v>150</v>
      </c>
      <c r="E47" s="397">
        <v>200</v>
      </c>
      <c r="F47" s="398" t="e">
        <f t="shared" si="7"/>
        <v>#REF!</v>
      </c>
      <c r="H47" s="366" t="e">
        <f t="shared" si="8"/>
        <v>#REF!</v>
      </c>
      <c r="I47" s="367" t="e">
        <f t="shared" si="3"/>
        <v>#REF!</v>
      </c>
      <c r="J47" s="366" t="e">
        <f t="shared" si="9"/>
        <v>#REF!</v>
      </c>
    </row>
    <row r="48" spans="1:10" ht="26.4" x14ac:dyDescent="0.25">
      <c r="A48" s="395" t="s">
        <v>627</v>
      </c>
      <c r="B48" s="397" t="s">
        <v>23</v>
      </c>
      <c r="C48" s="413" t="e">
        <f>#REF!</f>
        <v>#REF!</v>
      </c>
      <c r="D48" s="397">
        <f>230+120+130</f>
        <v>480</v>
      </c>
      <c r="E48" s="397">
        <f>D48*1.35</f>
        <v>648</v>
      </c>
      <c r="F48" s="398" t="e">
        <f t="shared" si="7"/>
        <v>#REF!</v>
      </c>
      <c r="H48" s="366" t="e">
        <f t="shared" si="8"/>
        <v>#REF!</v>
      </c>
      <c r="I48" s="367" t="e">
        <f t="shared" si="3"/>
        <v>#REF!</v>
      </c>
      <c r="J48" s="366" t="e">
        <f t="shared" si="9"/>
        <v>#REF!</v>
      </c>
    </row>
    <row r="49" spans="1:12" x14ac:dyDescent="0.25">
      <c r="A49" s="395" t="s">
        <v>589</v>
      </c>
      <c r="B49" s="397" t="s">
        <v>23</v>
      </c>
      <c r="C49" s="413" t="e">
        <f>#REF!</f>
        <v>#REF!</v>
      </c>
      <c r="D49" s="397">
        <v>450</v>
      </c>
      <c r="E49" s="397">
        <v>400</v>
      </c>
      <c r="F49" s="398" t="e">
        <f>C49*E49</f>
        <v>#REF!</v>
      </c>
      <c r="H49" s="366" t="e">
        <f t="shared" si="8"/>
        <v>#REF!</v>
      </c>
      <c r="I49" s="367"/>
      <c r="J49" s="366" t="e">
        <f t="shared" si="9"/>
        <v>#REF!</v>
      </c>
    </row>
    <row r="50" spans="1:12" x14ac:dyDescent="0.25">
      <c r="A50" s="395" t="s">
        <v>603</v>
      </c>
      <c r="B50" s="397" t="s">
        <v>10</v>
      </c>
      <c r="C50" s="413">
        <v>1</v>
      </c>
      <c r="D50" s="397">
        <v>3000</v>
      </c>
      <c r="E50" s="397">
        <v>5000</v>
      </c>
      <c r="F50" s="398">
        <f>C50*E50</f>
        <v>5000</v>
      </c>
      <c r="H50" s="366">
        <f t="shared" si="8"/>
        <v>3000</v>
      </c>
      <c r="I50" s="367"/>
      <c r="J50" s="366">
        <f t="shared" si="9"/>
        <v>5250</v>
      </c>
    </row>
    <row r="51" spans="1:12" x14ac:dyDescent="0.25">
      <c r="A51" s="395" t="s">
        <v>259</v>
      </c>
      <c r="B51" s="397" t="s">
        <v>10</v>
      </c>
      <c r="C51" s="414" t="e">
        <f>#REF!+#REF!+#REF!+#REF!</f>
        <v>#REF!</v>
      </c>
      <c r="D51" s="397">
        <v>1000</v>
      </c>
      <c r="E51" s="397">
        <v>2000</v>
      </c>
      <c r="F51" s="398" t="e">
        <f t="shared" si="7"/>
        <v>#REF!</v>
      </c>
      <c r="H51" s="366" t="e">
        <f t="shared" si="8"/>
        <v>#REF!</v>
      </c>
      <c r="I51" s="367" t="e">
        <f t="shared" si="3"/>
        <v>#REF!</v>
      </c>
      <c r="J51" s="366" t="e">
        <f t="shared" si="9"/>
        <v>#REF!</v>
      </c>
    </row>
    <row r="52" spans="1:12" x14ac:dyDescent="0.25">
      <c r="A52" s="395"/>
      <c r="B52" s="397"/>
      <c r="C52" s="397"/>
      <c r="D52" s="397"/>
      <c r="E52" s="400" t="s">
        <v>181</v>
      </c>
      <c r="F52" s="401" t="e">
        <f>SUM(F40:F51)</f>
        <v>#REF!</v>
      </c>
      <c r="H52" s="368" t="e">
        <f>SUM(H40:H51)</f>
        <v>#REF!</v>
      </c>
      <c r="I52" s="367" t="e">
        <f t="shared" si="3"/>
        <v>#REF!</v>
      </c>
      <c r="J52" s="368" t="e">
        <f t="shared" si="9"/>
        <v>#REF!</v>
      </c>
    </row>
    <row r="53" spans="1:12" x14ac:dyDescent="0.25">
      <c r="A53" s="629" t="s">
        <v>512</v>
      </c>
      <c r="B53" s="630"/>
      <c r="C53" s="630"/>
      <c r="D53" s="630"/>
      <c r="E53" s="630"/>
      <c r="F53" s="630"/>
      <c r="I53" s="367"/>
      <c r="K53" s="366"/>
      <c r="L53" s="366"/>
    </row>
    <row r="54" spans="1:12" x14ac:dyDescent="0.25">
      <c r="A54" s="406" t="s">
        <v>615</v>
      </c>
      <c r="B54" s="415" t="s">
        <v>217</v>
      </c>
      <c r="C54" s="416" t="e">
        <f>#REF!</f>
        <v>#REF!</v>
      </c>
      <c r="D54" s="416">
        <v>1250</v>
      </c>
      <c r="E54" s="397">
        <v>1450</v>
      </c>
      <c r="F54" s="398" t="e">
        <f>C54*E54</f>
        <v>#REF!</v>
      </c>
      <c r="H54" s="366" t="e">
        <f>C54*D54</f>
        <v>#REF!</v>
      </c>
      <c r="I54" s="367" t="e">
        <f t="shared" si="3"/>
        <v>#REF!</v>
      </c>
      <c r="J54" s="366" t="e">
        <f t="shared" si="9"/>
        <v>#REF!</v>
      </c>
    </row>
    <row r="55" spans="1:12" x14ac:dyDescent="0.25">
      <c r="A55" s="406" t="s">
        <v>380</v>
      </c>
      <c r="B55" s="415" t="s">
        <v>206</v>
      </c>
      <c r="C55" s="417" t="e">
        <f>#REF!+#REF!</f>
        <v>#REF!</v>
      </c>
      <c r="D55" s="416">
        <v>22000</v>
      </c>
      <c r="E55" s="397">
        <v>28000</v>
      </c>
      <c r="F55" s="398" t="e">
        <f>C55*E55</f>
        <v>#REF!</v>
      </c>
      <c r="G55" s="360" t="s">
        <v>483</v>
      </c>
      <c r="H55" s="366" t="e">
        <f t="shared" ref="H55:H70" si="10">C55*D55</f>
        <v>#REF!</v>
      </c>
      <c r="I55" s="367" t="e">
        <f t="shared" si="3"/>
        <v>#REF!</v>
      </c>
      <c r="J55" s="366" t="e">
        <f t="shared" si="9"/>
        <v>#REF!</v>
      </c>
    </row>
    <row r="56" spans="1:12" x14ac:dyDescent="0.25">
      <c r="A56" s="406" t="s">
        <v>564</v>
      </c>
      <c r="B56" s="415" t="s">
        <v>206</v>
      </c>
      <c r="C56" s="417" t="e">
        <f>#REF!</f>
        <v>#REF!</v>
      </c>
      <c r="D56" s="416">
        <v>26000</v>
      </c>
      <c r="E56" s="397">
        <v>29500</v>
      </c>
      <c r="F56" s="398" t="e">
        <f t="shared" ref="F56:F70" si="11">C56*E56</f>
        <v>#REF!</v>
      </c>
      <c r="H56" s="366" t="e">
        <f t="shared" si="10"/>
        <v>#REF!</v>
      </c>
      <c r="I56" s="367" t="e">
        <f t="shared" si="3"/>
        <v>#REF!</v>
      </c>
      <c r="J56" s="366" t="e">
        <f t="shared" si="9"/>
        <v>#REF!</v>
      </c>
    </row>
    <row r="57" spans="1:12" x14ac:dyDescent="0.25">
      <c r="A57" s="406" t="s">
        <v>265</v>
      </c>
      <c r="B57" s="415" t="s">
        <v>10</v>
      </c>
      <c r="C57" s="417" t="e">
        <f>#REF!/0.4*1.1</f>
        <v>#REF!</v>
      </c>
      <c r="D57" s="416">
        <v>5</v>
      </c>
      <c r="E57" s="397">
        <v>14</v>
      </c>
      <c r="F57" s="398" t="e">
        <f t="shared" si="11"/>
        <v>#REF!</v>
      </c>
      <c r="H57" s="366" t="e">
        <f t="shared" si="10"/>
        <v>#REF!</v>
      </c>
      <c r="I57" s="367" t="e">
        <f t="shared" si="3"/>
        <v>#REF!</v>
      </c>
      <c r="J57" s="366" t="e">
        <f t="shared" si="9"/>
        <v>#REF!</v>
      </c>
    </row>
    <row r="58" spans="1:12" x14ac:dyDescent="0.25">
      <c r="A58" s="402" t="s">
        <v>484</v>
      </c>
      <c r="B58" s="415" t="s">
        <v>34</v>
      </c>
      <c r="C58" s="417" t="e">
        <f>(#REF!+#REF!+#REF!+#REF!+#REF!+#REF!)*1.1</f>
        <v>#REF!</v>
      </c>
      <c r="D58" s="416">
        <v>25</v>
      </c>
      <c r="E58" s="397">
        <v>45</v>
      </c>
      <c r="F58" s="398" t="e">
        <f t="shared" si="11"/>
        <v>#REF!</v>
      </c>
      <c r="H58" s="366" t="e">
        <f t="shared" si="10"/>
        <v>#REF!</v>
      </c>
      <c r="I58" s="367" t="e">
        <f t="shared" si="3"/>
        <v>#REF!</v>
      </c>
      <c r="J58" s="366" t="e">
        <f t="shared" si="9"/>
        <v>#REF!</v>
      </c>
    </row>
    <row r="59" spans="1:12" x14ac:dyDescent="0.25">
      <c r="A59" s="406" t="s">
        <v>399</v>
      </c>
      <c r="B59" s="415" t="s">
        <v>34</v>
      </c>
      <c r="C59" s="417" t="e">
        <f>#REF!/10</f>
        <v>#REF!</v>
      </c>
      <c r="D59" s="416">
        <v>86</v>
      </c>
      <c r="E59" s="397">
        <v>130</v>
      </c>
      <c r="F59" s="398" t="e">
        <f t="shared" si="11"/>
        <v>#REF!</v>
      </c>
      <c r="G59" s="360" t="s">
        <v>551</v>
      </c>
      <c r="H59" s="366" t="e">
        <f t="shared" si="10"/>
        <v>#REF!</v>
      </c>
      <c r="I59" s="367"/>
      <c r="J59" s="366" t="e">
        <f t="shared" si="9"/>
        <v>#REF!</v>
      </c>
    </row>
    <row r="60" spans="1:12" x14ac:dyDescent="0.25">
      <c r="A60" s="406" t="s">
        <v>596</v>
      </c>
      <c r="B60" s="404" t="s">
        <v>206</v>
      </c>
      <c r="C60" s="412" t="e">
        <f>#REF!+#REF!+#REF!+#REF!+#REF!+#REF!+#REF!+#REF!+#REF!+#REF!</f>
        <v>#REF!</v>
      </c>
      <c r="D60" s="397">
        <v>36500</v>
      </c>
      <c r="E60" s="397">
        <v>45000</v>
      </c>
      <c r="F60" s="398" t="e">
        <f t="shared" si="11"/>
        <v>#REF!</v>
      </c>
      <c r="H60" s="366" t="e">
        <f t="shared" si="10"/>
        <v>#REF!</v>
      </c>
      <c r="I60" s="367" t="e">
        <f t="shared" si="3"/>
        <v>#REF!</v>
      </c>
      <c r="J60" s="366" t="e">
        <f t="shared" si="9"/>
        <v>#REF!</v>
      </c>
    </row>
    <row r="61" spans="1:12" x14ac:dyDescent="0.25">
      <c r="A61" s="406" t="s">
        <v>552</v>
      </c>
      <c r="B61" s="404" t="s">
        <v>206</v>
      </c>
      <c r="C61" s="412" t="e">
        <f>#REF!+#REF!+#REF!+#REF!+#REF!+#REF!+#REF!+#REF!+#REF!+#REF!</f>
        <v>#REF!</v>
      </c>
      <c r="D61" s="397">
        <v>36500</v>
      </c>
      <c r="E61" s="397">
        <v>45000</v>
      </c>
      <c r="F61" s="398" t="e">
        <f>C61*E61</f>
        <v>#REF!</v>
      </c>
      <c r="H61" s="366" t="e">
        <f>C61*D61</f>
        <v>#REF!</v>
      </c>
      <c r="I61" s="367" t="e">
        <f>F61/H61*100-100</f>
        <v>#REF!</v>
      </c>
      <c r="J61" s="366" t="e">
        <f t="shared" si="9"/>
        <v>#REF!</v>
      </c>
    </row>
    <row r="62" spans="1:12" x14ac:dyDescent="0.25">
      <c r="A62" s="406" t="s">
        <v>537</v>
      </c>
      <c r="B62" s="404" t="s">
        <v>206</v>
      </c>
      <c r="C62" s="412" t="e">
        <f>#REF!+#REF!+#REF!+#REF!+#REF!+#REF!+#REF!+#REF!+#REF!+#REF!+#REF!+#REF!</f>
        <v>#REF!</v>
      </c>
      <c r="D62" s="397">
        <v>20500</v>
      </c>
      <c r="E62" s="397">
        <v>23000</v>
      </c>
      <c r="F62" s="398" t="e">
        <f t="shared" si="11"/>
        <v>#REF!</v>
      </c>
      <c r="H62" s="366" t="e">
        <f t="shared" si="10"/>
        <v>#REF!</v>
      </c>
      <c r="I62" s="367" t="e">
        <f t="shared" si="3"/>
        <v>#REF!</v>
      </c>
      <c r="J62" s="366" t="e">
        <f t="shared" si="9"/>
        <v>#REF!</v>
      </c>
    </row>
    <row r="63" spans="1:12" x14ac:dyDescent="0.25">
      <c r="A63" s="406" t="s">
        <v>485</v>
      </c>
      <c r="B63" s="404" t="s">
        <v>217</v>
      </c>
      <c r="C63" s="412" t="e">
        <f>#REF!+#REF!+#REF!</f>
        <v>#REF!</v>
      </c>
      <c r="D63" s="397">
        <v>5600</v>
      </c>
      <c r="E63" s="397">
        <v>7000</v>
      </c>
      <c r="F63" s="398" t="e">
        <f t="shared" si="11"/>
        <v>#REF!</v>
      </c>
      <c r="G63" s="360" t="s">
        <v>480</v>
      </c>
      <c r="H63" s="366" t="e">
        <f t="shared" si="10"/>
        <v>#REF!</v>
      </c>
      <c r="I63" s="367"/>
      <c r="J63" s="366" t="e">
        <f t="shared" si="9"/>
        <v>#REF!</v>
      </c>
    </row>
    <row r="64" spans="1:12" x14ac:dyDescent="0.25">
      <c r="A64" s="406" t="s">
        <v>619</v>
      </c>
      <c r="B64" s="404" t="s">
        <v>344</v>
      </c>
      <c r="C64" s="412" t="e">
        <f>ROUNDUP(#REF!/6*3+#REF!/6*5,0)</f>
        <v>#REF!</v>
      </c>
      <c r="D64" s="397">
        <v>700</v>
      </c>
      <c r="E64" s="397">
        <v>910</v>
      </c>
      <c r="F64" s="398" t="e">
        <f t="shared" si="11"/>
        <v>#REF!</v>
      </c>
      <c r="G64" s="369" t="s">
        <v>553</v>
      </c>
      <c r="H64" s="366" t="e">
        <f t="shared" si="10"/>
        <v>#REF!</v>
      </c>
      <c r="I64" s="367"/>
      <c r="J64" s="366" t="e">
        <f t="shared" si="9"/>
        <v>#REF!</v>
      </c>
    </row>
    <row r="65" spans="1:10" x14ac:dyDescent="0.25">
      <c r="A65" s="406" t="s">
        <v>486</v>
      </c>
      <c r="B65" s="404" t="s">
        <v>217</v>
      </c>
      <c r="C65" s="412" t="e">
        <f>#REF!+#REF!+#REF!+#REF!+#REF!</f>
        <v>#REF!</v>
      </c>
      <c r="D65" s="397">
        <v>3100</v>
      </c>
      <c r="E65" s="397">
        <v>7000</v>
      </c>
      <c r="F65" s="398" t="e">
        <f t="shared" si="11"/>
        <v>#REF!</v>
      </c>
      <c r="G65" s="360" t="s">
        <v>480</v>
      </c>
      <c r="H65" s="366" t="e">
        <f t="shared" si="10"/>
        <v>#REF!</v>
      </c>
      <c r="I65" s="367"/>
      <c r="J65" s="366" t="e">
        <f t="shared" si="9"/>
        <v>#REF!</v>
      </c>
    </row>
    <row r="66" spans="1:10" x14ac:dyDescent="0.25">
      <c r="A66" s="406" t="s">
        <v>487</v>
      </c>
      <c r="B66" s="404" t="s">
        <v>217</v>
      </c>
      <c r="C66" s="412" t="e">
        <f>(C63+C65)*2</f>
        <v>#REF!</v>
      </c>
      <c r="D66" s="397">
        <v>600</v>
      </c>
      <c r="E66" s="397">
        <v>1200</v>
      </c>
      <c r="F66" s="398" t="e">
        <f t="shared" si="11"/>
        <v>#REF!</v>
      </c>
      <c r="H66" s="366" t="e">
        <f t="shared" si="10"/>
        <v>#REF!</v>
      </c>
      <c r="I66" s="367"/>
      <c r="J66" s="366" t="e">
        <f t="shared" si="9"/>
        <v>#REF!</v>
      </c>
    </row>
    <row r="67" spans="1:10" x14ac:dyDescent="0.25">
      <c r="A67" s="406" t="s">
        <v>598</v>
      </c>
      <c r="B67" s="404" t="s">
        <v>25</v>
      </c>
      <c r="C67" s="412" t="e">
        <f>#REF!</f>
        <v>#REF!</v>
      </c>
      <c r="D67" s="397">
        <v>35500</v>
      </c>
      <c r="E67" s="397">
        <f>D67*1.3</f>
        <v>46150</v>
      </c>
      <c r="F67" s="398"/>
      <c r="G67" s="369" t="s">
        <v>554</v>
      </c>
      <c r="H67" s="366" t="e">
        <f t="shared" si="10"/>
        <v>#REF!</v>
      </c>
      <c r="I67" s="367"/>
      <c r="J67" s="366">
        <f t="shared" si="9"/>
        <v>0</v>
      </c>
    </row>
    <row r="68" spans="1:10" x14ac:dyDescent="0.25">
      <c r="A68" s="406" t="s">
        <v>597</v>
      </c>
      <c r="B68" s="418" t="s">
        <v>23</v>
      </c>
      <c r="C68" s="412" t="e">
        <f>#REF!*2</f>
        <v>#REF!</v>
      </c>
      <c r="D68" s="397">
        <v>590</v>
      </c>
      <c r="E68" s="397">
        <v>800</v>
      </c>
      <c r="F68" s="398" t="e">
        <f t="shared" si="11"/>
        <v>#REF!</v>
      </c>
      <c r="G68" s="369" t="s">
        <v>555</v>
      </c>
      <c r="H68" s="366" t="e">
        <f t="shared" si="10"/>
        <v>#REF!</v>
      </c>
      <c r="I68" s="367"/>
      <c r="J68" s="366" t="e">
        <f t="shared" si="9"/>
        <v>#REF!</v>
      </c>
    </row>
    <row r="69" spans="1:10" x14ac:dyDescent="0.25">
      <c r="A69" s="406" t="s">
        <v>604</v>
      </c>
      <c r="B69" s="418" t="s">
        <v>10</v>
      </c>
      <c r="C69" s="443">
        <v>1</v>
      </c>
      <c r="D69" s="397">
        <v>15000</v>
      </c>
      <c r="E69" s="397">
        <v>18000</v>
      </c>
      <c r="F69" s="398">
        <f t="shared" si="11"/>
        <v>18000</v>
      </c>
      <c r="G69" s="369"/>
      <c r="I69" s="367"/>
    </row>
    <row r="70" spans="1:10" x14ac:dyDescent="0.25">
      <c r="A70" s="406" t="s">
        <v>230</v>
      </c>
      <c r="B70" s="418" t="s">
        <v>479</v>
      </c>
      <c r="C70" s="412" t="e">
        <f>ROUNDUP(#REF!/10000,0)</f>
        <v>#REF!</v>
      </c>
      <c r="D70" s="397">
        <v>10000</v>
      </c>
      <c r="E70" s="397">
        <v>12000</v>
      </c>
      <c r="F70" s="398" t="e">
        <f t="shared" si="11"/>
        <v>#REF!</v>
      </c>
      <c r="H70" s="366" t="e">
        <f t="shared" si="10"/>
        <v>#REF!</v>
      </c>
      <c r="I70" s="367" t="e">
        <f t="shared" si="3"/>
        <v>#REF!</v>
      </c>
      <c r="J70" s="366" t="e">
        <f t="shared" si="9"/>
        <v>#REF!</v>
      </c>
    </row>
    <row r="71" spans="1:10" x14ac:dyDescent="0.25">
      <c r="A71" s="395" t="s">
        <v>506</v>
      </c>
      <c r="B71" s="397"/>
      <c r="C71" s="397"/>
      <c r="D71" s="397"/>
      <c r="E71" s="419">
        <v>30000</v>
      </c>
      <c r="F71" s="398">
        <f>E71</f>
        <v>30000</v>
      </c>
      <c r="H71" s="366">
        <f>C71*D71</f>
        <v>0</v>
      </c>
      <c r="I71" s="367"/>
      <c r="J71" s="366">
        <f t="shared" si="9"/>
        <v>31500</v>
      </c>
    </row>
    <row r="72" spans="1:10" x14ac:dyDescent="0.25">
      <c r="A72" s="395" t="s">
        <v>280</v>
      </c>
      <c r="B72" s="397" t="s">
        <v>496</v>
      </c>
      <c r="C72" s="397" t="e">
        <f>ROUNDUP(C43/10/2,0)</f>
        <v>#REF!</v>
      </c>
      <c r="D72" s="397">
        <v>15000</v>
      </c>
      <c r="E72" s="397">
        <v>18000</v>
      </c>
      <c r="F72" s="398" t="e">
        <f>C72*E72</f>
        <v>#REF!</v>
      </c>
      <c r="H72" s="366" t="e">
        <f>C72*D72</f>
        <v>#REF!</v>
      </c>
      <c r="I72" s="367" t="e">
        <f>F72/H72*100-100</f>
        <v>#REF!</v>
      </c>
      <c r="J72" s="366" t="e">
        <f t="shared" si="9"/>
        <v>#REF!</v>
      </c>
    </row>
    <row r="73" spans="1:10" x14ac:dyDescent="0.25">
      <c r="A73" s="395" t="s">
        <v>588</v>
      </c>
      <c r="B73" s="397"/>
      <c r="C73" s="397"/>
      <c r="D73" s="397"/>
      <c r="E73" s="397"/>
      <c r="F73" s="401" t="e">
        <f>SUM(F52:F72)*0.11</f>
        <v>#REF!</v>
      </c>
      <c r="G73" s="401">
        <f>SUM(G52:G72)*0.11</f>
        <v>0</v>
      </c>
      <c r="H73" s="401" t="e">
        <f>SUM(H52:H72)*0.11</f>
        <v>#REF!</v>
      </c>
      <c r="I73" s="367" t="e">
        <f>F73/H73*100-100</f>
        <v>#REF!</v>
      </c>
      <c r="J73" s="368" t="e">
        <f t="shared" si="9"/>
        <v>#REF!</v>
      </c>
    </row>
    <row r="74" spans="1:10" x14ac:dyDescent="0.25">
      <c r="A74" s="616" t="s">
        <v>181</v>
      </c>
      <c r="B74" s="617"/>
      <c r="C74" s="617"/>
      <c r="D74" s="617"/>
      <c r="E74" s="618"/>
      <c r="F74" s="401" t="e">
        <f>SUM(F54:F73)</f>
        <v>#REF!</v>
      </c>
      <c r="G74" s="401">
        <f>SUM(G54:G73)</f>
        <v>0</v>
      </c>
      <c r="H74" s="401" t="e">
        <f>SUM(H54:H73)</f>
        <v>#REF!</v>
      </c>
      <c r="I74" s="367" t="e">
        <f t="shared" si="3"/>
        <v>#REF!</v>
      </c>
      <c r="J74" s="368" t="e">
        <f t="shared" si="9"/>
        <v>#REF!</v>
      </c>
    </row>
    <row r="75" spans="1:10" ht="13.8" thickBot="1" x14ac:dyDescent="0.3">
      <c r="A75" s="616" t="s">
        <v>516</v>
      </c>
      <c r="B75" s="617"/>
      <c r="C75" s="617"/>
      <c r="D75" s="617"/>
      <c r="E75" s="618"/>
      <c r="F75" s="401" t="e">
        <f>F52+F74</f>
        <v>#REF!</v>
      </c>
      <c r="G75" s="401"/>
      <c r="H75" s="401" t="e">
        <f>H52+H74</f>
        <v>#REF!</v>
      </c>
      <c r="I75" s="367" t="e">
        <f t="shared" si="3"/>
        <v>#REF!</v>
      </c>
      <c r="J75" s="368" t="e">
        <f t="shared" si="9"/>
        <v>#REF!</v>
      </c>
    </row>
    <row r="76" spans="1:10" ht="14.4" thickBot="1" x14ac:dyDescent="0.3">
      <c r="A76" s="623" t="s">
        <v>488</v>
      </c>
      <c r="B76" s="624"/>
      <c r="C76" s="624"/>
      <c r="D76" s="624"/>
      <c r="E76" s="624"/>
      <c r="F76" s="625"/>
      <c r="H76" s="368"/>
      <c r="I76" s="367"/>
      <c r="J76" s="434"/>
    </row>
    <row r="77" spans="1:10" x14ac:dyDescent="0.25">
      <c r="A77" s="622" t="s">
        <v>511</v>
      </c>
      <c r="B77" s="622"/>
      <c r="C77" s="622"/>
      <c r="D77" s="622"/>
      <c r="E77" s="622"/>
      <c r="F77" s="622"/>
      <c r="I77" s="367"/>
    </row>
    <row r="78" spans="1:10" x14ac:dyDescent="0.25">
      <c r="A78" s="395" t="s">
        <v>256</v>
      </c>
      <c r="B78" s="397" t="s">
        <v>23</v>
      </c>
      <c r="C78" s="411" t="e">
        <f>#REF!</f>
        <v>#REF!</v>
      </c>
      <c r="D78" s="397">
        <v>400</v>
      </c>
      <c r="E78" s="397">
        <v>600</v>
      </c>
      <c r="F78" s="398" t="e">
        <f>C78*E78</f>
        <v>#REF!</v>
      </c>
      <c r="H78" s="366" t="e">
        <f>C78*D78</f>
        <v>#REF!</v>
      </c>
      <c r="I78" s="367" t="e">
        <f t="shared" si="3"/>
        <v>#REF!</v>
      </c>
      <c r="J78" s="366" t="e">
        <f>F78*1.05</f>
        <v>#REF!</v>
      </c>
    </row>
    <row r="79" spans="1:10" ht="26.4" x14ac:dyDescent="0.25">
      <c r="A79" s="420" t="s">
        <v>565</v>
      </c>
      <c r="B79" s="397" t="s">
        <v>23</v>
      </c>
      <c r="C79" s="411" t="e">
        <f>C78</f>
        <v>#REF!</v>
      </c>
      <c r="D79" s="421">
        <v>500</v>
      </c>
      <c r="E79" s="397">
        <v>800</v>
      </c>
      <c r="F79" s="398" t="e">
        <f t="shared" ref="F79:F90" si="12">C79*E79</f>
        <v>#REF!</v>
      </c>
      <c r="G79" s="369" t="s">
        <v>556</v>
      </c>
      <c r="H79" s="366" t="e">
        <f t="shared" ref="H79:H90" si="13">C79*D79</f>
        <v>#REF!</v>
      </c>
      <c r="I79" s="367" t="e">
        <f t="shared" si="3"/>
        <v>#REF!</v>
      </c>
      <c r="J79" s="366" t="e">
        <f t="shared" ref="J79:J115" si="14">F79*1.05</f>
        <v>#REF!</v>
      </c>
    </row>
    <row r="80" spans="1:10" x14ac:dyDescent="0.25">
      <c r="A80" s="420" t="s">
        <v>375</v>
      </c>
      <c r="B80" s="397" t="s">
        <v>23</v>
      </c>
      <c r="C80" s="411" t="e">
        <f>#REF!</f>
        <v>#REF!</v>
      </c>
      <c r="D80" s="397">
        <v>200</v>
      </c>
      <c r="E80" s="397">
        <v>400</v>
      </c>
      <c r="F80" s="398" t="e">
        <f t="shared" si="12"/>
        <v>#REF!</v>
      </c>
      <c r="H80" s="366" t="e">
        <f t="shared" si="13"/>
        <v>#REF!</v>
      </c>
      <c r="I80" s="367" t="e">
        <f t="shared" si="3"/>
        <v>#REF!</v>
      </c>
      <c r="J80" s="366" t="e">
        <f t="shared" si="14"/>
        <v>#REF!</v>
      </c>
    </row>
    <row r="81" spans="1:10" x14ac:dyDescent="0.25">
      <c r="A81" s="395" t="s">
        <v>501</v>
      </c>
      <c r="B81" s="397" t="s">
        <v>23</v>
      </c>
      <c r="C81" s="411" t="e">
        <f>C78</f>
        <v>#REF!</v>
      </c>
      <c r="D81" s="397">
        <v>400</v>
      </c>
      <c r="E81" s="397">
        <v>550</v>
      </c>
      <c r="F81" s="398" t="e">
        <f t="shared" si="12"/>
        <v>#REF!</v>
      </c>
      <c r="H81" s="366" t="e">
        <f t="shared" si="13"/>
        <v>#REF!</v>
      </c>
      <c r="I81" s="367" t="e">
        <f t="shared" si="3"/>
        <v>#REF!</v>
      </c>
      <c r="J81" s="366" t="e">
        <f t="shared" si="14"/>
        <v>#REF!</v>
      </c>
    </row>
    <row r="82" spans="1:10" x14ac:dyDescent="0.25">
      <c r="A82" s="395" t="s">
        <v>502</v>
      </c>
      <c r="B82" s="397" t="s">
        <v>23</v>
      </c>
      <c r="C82" s="411" t="e">
        <f>C78</f>
        <v>#REF!</v>
      </c>
      <c r="D82" s="397">
        <v>300</v>
      </c>
      <c r="E82" s="397">
        <v>550</v>
      </c>
      <c r="F82" s="398" t="e">
        <f t="shared" si="12"/>
        <v>#REF!</v>
      </c>
      <c r="G82" s="435" t="s">
        <v>583</v>
      </c>
      <c r="H82" s="366" t="e">
        <f t="shared" si="13"/>
        <v>#REF!</v>
      </c>
      <c r="I82" s="367"/>
      <c r="J82" s="366" t="e">
        <f t="shared" si="14"/>
        <v>#REF!</v>
      </c>
    </row>
    <row r="83" spans="1:10" x14ac:dyDescent="0.25">
      <c r="A83" s="395" t="s">
        <v>517</v>
      </c>
      <c r="B83" s="397" t="s">
        <v>34</v>
      </c>
      <c r="C83" s="411" t="e">
        <f>#REF!+#REF!</f>
        <v>#REF!</v>
      </c>
      <c r="D83" s="397">
        <v>150</v>
      </c>
      <c r="E83" s="397">
        <v>250</v>
      </c>
      <c r="F83" s="398" t="e">
        <f t="shared" si="12"/>
        <v>#REF!</v>
      </c>
      <c r="G83" s="435"/>
      <c r="H83" s="366" t="e">
        <f t="shared" si="13"/>
        <v>#REF!</v>
      </c>
      <c r="I83" s="367" t="e">
        <f t="shared" si="3"/>
        <v>#REF!</v>
      </c>
      <c r="J83" s="366" t="e">
        <f t="shared" si="14"/>
        <v>#REF!</v>
      </c>
    </row>
    <row r="84" spans="1:10" x14ac:dyDescent="0.25">
      <c r="A84" s="395" t="s">
        <v>518</v>
      </c>
      <c r="B84" s="397" t="s">
        <v>10</v>
      </c>
      <c r="C84" s="414" t="e">
        <f>#REF!</f>
        <v>#REF!</v>
      </c>
      <c r="D84" s="397">
        <v>5500</v>
      </c>
      <c r="E84" s="397">
        <f>ROUNDUP(D84*1.3,-1)</f>
        <v>7150</v>
      </c>
      <c r="F84" s="398" t="e">
        <f>C84*E84</f>
        <v>#REF!</v>
      </c>
      <c r="H84" s="366" t="e">
        <f t="shared" si="13"/>
        <v>#REF!</v>
      </c>
      <c r="I84" s="367" t="e">
        <f t="shared" si="3"/>
        <v>#REF!</v>
      </c>
      <c r="J84" s="366" t="e">
        <f t="shared" si="14"/>
        <v>#REF!</v>
      </c>
    </row>
    <row r="85" spans="1:10" x14ac:dyDescent="0.25">
      <c r="A85" s="395" t="s">
        <v>503</v>
      </c>
      <c r="B85" s="397" t="s">
        <v>10</v>
      </c>
      <c r="C85" s="411" t="e">
        <f>ROUNDUP(#REF!/3,0)</f>
        <v>#REF!</v>
      </c>
      <c r="D85" s="397">
        <v>500</v>
      </c>
      <c r="E85" s="397">
        <v>900</v>
      </c>
      <c r="F85" s="398" t="e">
        <f t="shared" si="12"/>
        <v>#REF!</v>
      </c>
      <c r="G85" s="436" t="s">
        <v>584</v>
      </c>
      <c r="H85" s="366" t="e">
        <f t="shared" si="13"/>
        <v>#REF!</v>
      </c>
      <c r="I85" s="367" t="e">
        <f t="shared" si="3"/>
        <v>#REF!</v>
      </c>
      <c r="J85" s="366" t="e">
        <f t="shared" si="14"/>
        <v>#REF!</v>
      </c>
    </row>
    <row r="86" spans="1:10" x14ac:dyDescent="0.25">
      <c r="A86" s="395" t="s">
        <v>298</v>
      </c>
      <c r="B86" s="397" t="s">
        <v>10</v>
      </c>
      <c r="C86" s="419">
        <v>0</v>
      </c>
      <c r="D86" s="397">
        <v>1000</v>
      </c>
      <c r="E86" s="397">
        <v>1500</v>
      </c>
      <c r="F86" s="398">
        <f t="shared" si="12"/>
        <v>0</v>
      </c>
      <c r="H86" s="366">
        <f t="shared" si="13"/>
        <v>0</v>
      </c>
      <c r="I86" s="367" t="e">
        <f t="shared" si="3"/>
        <v>#DIV/0!</v>
      </c>
      <c r="J86" s="366">
        <f t="shared" si="14"/>
        <v>0</v>
      </c>
    </row>
    <row r="87" spans="1:10" x14ac:dyDescent="0.25">
      <c r="A87" s="395" t="s">
        <v>303</v>
      </c>
      <c r="B87" s="397" t="s">
        <v>23</v>
      </c>
      <c r="C87" s="414" t="e">
        <f>#REF!</f>
        <v>#REF!</v>
      </c>
      <c r="D87" s="397">
        <v>50</v>
      </c>
      <c r="E87" s="397">
        <v>100</v>
      </c>
      <c r="F87" s="398" t="e">
        <f t="shared" si="12"/>
        <v>#REF!</v>
      </c>
      <c r="H87" s="366" t="e">
        <f t="shared" si="13"/>
        <v>#REF!</v>
      </c>
      <c r="I87" s="367" t="e">
        <f t="shared" si="3"/>
        <v>#REF!</v>
      </c>
      <c r="J87" s="366" t="e">
        <f t="shared" si="14"/>
        <v>#REF!</v>
      </c>
    </row>
    <row r="88" spans="1:10" x14ac:dyDescent="0.25">
      <c r="A88" s="395" t="s">
        <v>309</v>
      </c>
      <c r="B88" s="397" t="s">
        <v>23</v>
      </c>
      <c r="C88" s="411" t="e">
        <f>#REF!+#REF!</f>
        <v>#REF!</v>
      </c>
      <c r="D88" s="397">
        <v>300</v>
      </c>
      <c r="E88" s="397">
        <v>550</v>
      </c>
      <c r="F88" s="398" t="e">
        <f t="shared" si="12"/>
        <v>#REF!</v>
      </c>
      <c r="H88" s="366" t="e">
        <f t="shared" si="13"/>
        <v>#REF!</v>
      </c>
      <c r="I88" s="367" t="e">
        <f t="shared" si="3"/>
        <v>#REF!</v>
      </c>
      <c r="J88" s="366" t="e">
        <f t="shared" si="14"/>
        <v>#REF!</v>
      </c>
    </row>
    <row r="89" spans="1:10" x14ac:dyDescent="0.25">
      <c r="A89" s="395" t="s">
        <v>310</v>
      </c>
      <c r="B89" s="397" t="s">
        <v>24</v>
      </c>
      <c r="C89" s="411" t="e">
        <f>ROUNDUP(#REF!,0)</f>
        <v>#REF!</v>
      </c>
      <c r="D89" s="397">
        <v>250</v>
      </c>
      <c r="E89" s="397">
        <v>500</v>
      </c>
      <c r="F89" s="398" t="e">
        <f t="shared" si="12"/>
        <v>#REF!</v>
      </c>
      <c r="G89" s="436" t="s">
        <v>584</v>
      </c>
      <c r="H89" s="366" t="e">
        <f t="shared" si="13"/>
        <v>#REF!</v>
      </c>
      <c r="I89" s="367" t="e">
        <f t="shared" si="3"/>
        <v>#REF!</v>
      </c>
      <c r="J89" s="366" t="e">
        <f t="shared" si="14"/>
        <v>#REF!</v>
      </c>
    </row>
    <row r="90" spans="1:10" x14ac:dyDescent="0.25">
      <c r="A90" s="395" t="s">
        <v>311</v>
      </c>
      <c r="B90" s="397" t="s">
        <v>10</v>
      </c>
      <c r="C90" s="437">
        <v>0</v>
      </c>
      <c r="D90" s="397">
        <v>700</v>
      </c>
      <c r="E90" s="397">
        <v>2000</v>
      </c>
      <c r="F90" s="398">
        <f t="shared" si="12"/>
        <v>0</v>
      </c>
      <c r="H90" s="366">
        <f t="shared" si="13"/>
        <v>0</v>
      </c>
      <c r="I90" s="367" t="e">
        <f t="shared" si="3"/>
        <v>#DIV/0!</v>
      </c>
      <c r="J90" s="366">
        <f t="shared" si="14"/>
        <v>0</v>
      </c>
    </row>
    <row r="91" spans="1:10" x14ac:dyDescent="0.25">
      <c r="A91" s="395"/>
      <c r="B91" s="397"/>
      <c r="C91" s="398"/>
      <c r="D91" s="397"/>
      <c r="E91" s="400" t="s">
        <v>181</v>
      </c>
      <c r="F91" s="422" t="e">
        <f>SUM(F78:F90)</f>
        <v>#REF!</v>
      </c>
      <c r="H91" s="368" t="e">
        <f>SUM(H78:H90)</f>
        <v>#REF!</v>
      </c>
      <c r="I91" s="367" t="e">
        <f t="shared" si="3"/>
        <v>#REF!</v>
      </c>
      <c r="J91" s="368" t="e">
        <f t="shared" si="14"/>
        <v>#REF!</v>
      </c>
    </row>
    <row r="92" spans="1:10" x14ac:dyDescent="0.25">
      <c r="A92" s="629" t="s">
        <v>512</v>
      </c>
      <c r="B92" s="630"/>
      <c r="C92" s="630"/>
      <c r="D92" s="630"/>
      <c r="E92" s="630"/>
      <c r="F92" s="631"/>
      <c r="I92" s="367"/>
    </row>
    <row r="93" spans="1:10" x14ac:dyDescent="0.25">
      <c r="A93" s="406" t="s">
        <v>599</v>
      </c>
      <c r="B93" s="404" t="s">
        <v>206</v>
      </c>
      <c r="C93" s="412" t="e">
        <f>#REF!+#REF!</f>
        <v>#REF!</v>
      </c>
      <c r="D93" s="397">
        <v>36500</v>
      </c>
      <c r="E93" s="397">
        <v>45000</v>
      </c>
      <c r="F93" s="398" t="e">
        <f>C93*E93</f>
        <v>#REF!</v>
      </c>
      <c r="H93" s="366" t="e">
        <f>C93*D93</f>
        <v>#REF!</v>
      </c>
      <c r="I93" s="367" t="e">
        <f>F93/H93*100-100</f>
        <v>#REF!</v>
      </c>
      <c r="J93" s="366" t="e">
        <f t="shared" si="14"/>
        <v>#REF!</v>
      </c>
    </row>
    <row r="94" spans="1:10" x14ac:dyDescent="0.25">
      <c r="A94" s="406" t="s">
        <v>552</v>
      </c>
      <c r="B94" s="404" t="s">
        <v>206</v>
      </c>
      <c r="C94" s="412" t="e">
        <f>#REF!+#REF!</f>
        <v>#REF!</v>
      </c>
      <c r="D94" s="397">
        <v>36500</v>
      </c>
      <c r="E94" s="397">
        <v>45000</v>
      </c>
      <c r="F94" s="398" t="e">
        <f>C94*E94</f>
        <v>#REF!</v>
      </c>
      <c r="H94" s="366" t="e">
        <f>C94*D94</f>
        <v>#REF!</v>
      </c>
      <c r="I94" s="367" t="e">
        <f>F94/H94*100-100</f>
        <v>#REF!</v>
      </c>
      <c r="J94" s="366" t="e">
        <f t="shared" si="14"/>
        <v>#REF!</v>
      </c>
    </row>
    <row r="95" spans="1:10" ht="26.4" x14ac:dyDescent="0.25">
      <c r="A95" s="406" t="s">
        <v>538</v>
      </c>
      <c r="B95" s="404" t="s">
        <v>206</v>
      </c>
      <c r="C95" s="412" t="e">
        <f>#REF!+#REF!+#REF!+#REF!+#REF!+#REF!+#REF!+#REF!+#REF!+#REF!</f>
        <v>#REF!</v>
      </c>
      <c r="D95" s="397">
        <v>20500</v>
      </c>
      <c r="E95" s="397">
        <v>23000</v>
      </c>
      <c r="F95" s="398" t="e">
        <f>C95*E95</f>
        <v>#REF!</v>
      </c>
      <c r="G95" s="360" t="s">
        <v>526</v>
      </c>
      <c r="H95" s="366" t="e">
        <f>C95*D95</f>
        <v>#REF!</v>
      </c>
      <c r="I95" s="367" t="e">
        <f>F95/H95*100-100</f>
        <v>#REF!</v>
      </c>
      <c r="J95" s="366" t="e">
        <f t="shared" si="14"/>
        <v>#REF!</v>
      </c>
    </row>
    <row r="96" spans="1:10" x14ac:dyDescent="0.25">
      <c r="A96" s="406" t="s">
        <v>590</v>
      </c>
      <c r="B96" s="404" t="s">
        <v>10</v>
      </c>
      <c r="C96" s="423" t="e">
        <f>ROUNDUP((#REF!+#REF!)/3.13,0)</f>
        <v>#REF!</v>
      </c>
      <c r="D96" s="404">
        <v>545</v>
      </c>
      <c r="E96" s="404">
        <f>ROUNDUP(D96*1.35,0)</f>
        <v>736</v>
      </c>
      <c r="F96" s="423" t="e">
        <f t="shared" ref="F96:F111" si="15">C96*E96</f>
        <v>#REF!</v>
      </c>
      <c r="G96" s="360">
        <v>3.125</v>
      </c>
      <c r="H96" s="366" t="e">
        <f t="shared" ref="H96:H111" si="16">C96*D96</f>
        <v>#REF!</v>
      </c>
      <c r="I96" s="367" t="e">
        <f t="shared" ref="I96:I173" si="17">F96/H96*100-100</f>
        <v>#REF!</v>
      </c>
      <c r="J96" s="366" t="e">
        <f t="shared" si="14"/>
        <v>#REF!</v>
      </c>
    </row>
    <row r="97" spans="1:10" x14ac:dyDescent="0.25">
      <c r="A97" s="406" t="s">
        <v>617</v>
      </c>
      <c r="B97" s="404" t="s">
        <v>217</v>
      </c>
      <c r="C97" s="423" t="e">
        <f>ROUNDUP(#REF!*1.1/40,)</f>
        <v>#REF!</v>
      </c>
      <c r="D97" s="404">
        <v>3500</v>
      </c>
      <c r="E97" s="404">
        <f>ROUNDUP(D97*1.4,0)</f>
        <v>4900</v>
      </c>
      <c r="F97" s="423" t="e">
        <f t="shared" si="15"/>
        <v>#REF!</v>
      </c>
      <c r="G97" s="360" t="s">
        <v>616</v>
      </c>
      <c r="H97" s="366" t="e">
        <f t="shared" si="16"/>
        <v>#REF!</v>
      </c>
      <c r="I97" s="367"/>
      <c r="J97" s="366" t="e">
        <f t="shared" si="14"/>
        <v>#REF!</v>
      </c>
    </row>
    <row r="98" spans="1:10" x14ac:dyDescent="0.25">
      <c r="A98" s="406" t="s">
        <v>620</v>
      </c>
      <c r="B98" s="404" t="s">
        <v>23</v>
      </c>
      <c r="C98" s="418" t="e">
        <f>#REF!</f>
        <v>#REF!</v>
      </c>
      <c r="D98" s="404">
        <v>850</v>
      </c>
      <c r="E98" s="404">
        <v>1250</v>
      </c>
      <c r="F98" s="423" t="e">
        <f t="shared" si="15"/>
        <v>#REF!</v>
      </c>
      <c r="H98" s="366" t="e">
        <f t="shared" si="16"/>
        <v>#REF!</v>
      </c>
      <c r="I98" s="367" t="e">
        <f t="shared" si="17"/>
        <v>#REF!</v>
      </c>
      <c r="J98" s="366" t="e">
        <f t="shared" si="14"/>
        <v>#REF!</v>
      </c>
    </row>
    <row r="99" spans="1:10" x14ac:dyDescent="0.25">
      <c r="A99" s="406" t="s">
        <v>600</v>
      </c>
      <c r="B99" s="404" t="s">
        <v>23</v>
      </c>
      <c r="C99" s="418" t="e">
        <f>#REF!</f>
        <v>#REF!</v>
      </c>
      <c r="D99" s="404"/>
      <c r="E99" s="404"/>
      <c r="F99" s="423"/>
      <c r="H99" s="366" t="e">
        <f t="shared" si="16"/>
        <v>#REF!</v>
      </c>
      <c r="I99" s="367"/>
      <c r="J99" s="366">
        <f t="shared" si="14"/>
        <v>0</v>
      </c>
    </row>
    <row r="100" spans="1:10" x14ac:dyDescent="0.25">
      <c r="A100" s="406" t="s">
        <v>539</v>
      </c>
      <c r="B100" s="404" t="s">
        <v>10</v>
      </c>
      <c r="C100" s="404">
        <f>C86</f>
        <v>0</v>
      </c>
      <c r="D100" s="404">
        <v>6000</v>
      </c>
      <c r="E100" s="404">
        <v>7200</v>
      </c>
      <c r="F100" s="423">
        <f>C100*E100</f>
        <v>0</v>
      </c>
      <c r="H100" s="366">
        <f t="shared" si="16"/>
        <v>0</v>
      </c>
      <c r="I100" s="367" t="e">
        <f t="shared" si="17"/>
        <v>#DIV/0!</v>
      </c>
      <c r="J100" s="366">
        <f t="shared" si="14"/>
        <v>0</v>
      </c>
    </row>
    <row r="101" spans="1:10" x14ac:dyDescent="0.25">
      <c r="A101" s="406" t="s">
        <v>540</v>
      </c>
      <c r="B101" s="404" t="s">
        <v>217</v>
      </c>
      <c r="C101" s="423" t="e">
        <f>ROUNDUP(C87/36,0)</f>
        <v>#REF!</v>
      </c>
      <c r="D101" s="404">
        <v>1850</v>
      </c>
      <c r="E101" s="404">
        <f>ROUNDUP(D101*1.35,0)</f>
        <v>2498</v>
      </c>
      <c r="F101" s="423" t="e">
        <f t="shared" si="15"/>
        <v>#REF!</v>
      </c>
      <c r="G101" s="360" t="s">
        <v>541</v>
      </c>
      <c r="H101" s="366" t="e">
        <f t="shared" si="16"/>
        <v>#REF!</v>
      </c>
      <c r="I101" s="367" t="e">
        <f t="shared" si="17"/>
        <v>#REF!</v>
      </c>
      <c r="J101" s="366" t="e">
        <f t="shared" si="14"/>
        <v>#REF!</v>
      </c>
    </row>
    <row r="102" spans="1:10" ht="30" customHeight="1" x14ac:dyDescent="0.25">
      <c r="A102" s="406" t="s">
        <v>591</v>
      </c>
      <c r="B102" s="404" t="s">
        <v>479</v>
      </c>
      <c r="C102" s="418" t="e">
        <f>#REF!</f>
        <v>#REF!</v>
      </c>
      <c r="D102" s="404">
        <v>25500</v>
      </c>
      <c r="E102" s="404">
        <v>34200</v>
      </c>
      <c r="F102" s="423" t="e">
        <f t="shared" si="15"/>
        <v>#REF!</v>
      </c>
      <c r="H102" s="366" t="e">
        <f t="shared" si="16"/>
        <v>#REF!</v>
      </c>
      <c r="I102" s="367"/>
      <c r="J102" s="366" t="e">
        <f t="shared" si="14"/>
        <v>#REF!</v>
      </c>
    </row>
    <row r="103" spans="1:10" ht="17.25" customHeight="1" x14ac:dyDescent="0.25">
      <c r="A103" s="406" t="s">
        <v>519</v>
      </c>
      <c r="B103" s="404" t="s">
        <v>10</v>
      </c>
      <c r="C103" s="418" t="e">
        <f>C85</f>
        <v>#REF!</v>
      </c>
      <c r="D103" s="404">
        <v>2500</v>
      </c>
      <c r="E103" s="404">
        <v>3500</v>
      </c>
      <c r="F103" s="423" t="e">
        <f>C103*E103</f>
        <v>#REF!</v>
      </c>
      <c r="G103" s="360" t="s">
        <v>542</v>
      </c>
      <c r="H103" s="366" t="e">
        <f t="shared" si="16"/>
        <v>#REF!</v>
      </c>
      <c r="I103" s="367" t="e">
        <f t="shared" si="17"/>
        <v>#REF!</v>
      </c>
      <c r="J103" s="366" t="e">
        <f t="shared" si="14"/>
        <v>#REF!</v>
      </c>
    </row>
    <row r="104" spans="1:10" x14ac:dyDescent="0.25">
      <c r="A104" s="406" t="s">
        <v>543</v>
      </c>
      <c r="B104" s="404" t="s">
        <v>217</v>
      </c>
      <c r="C104" s="423" t="e">
        <f>#REF!</f>
        <v>#REF!</v>
      </c>
      <c r="D104" s="404">
        <v>5600</v>
      </c>
      <c r="E104" s="404">
        <f>D104*1.3</f>
        <v>7280</v>
      </c>
      <c r="F104" s="423" t="e">
        <f t="shared" si="15"/>
        <v>#REF!</v>
      </c>
      <c r="H104" s="366" t="e">
        <f t="shared" si="16"/>
        <v>#REF!</v>
      </c>
      <c r="I104" s="367" t="e">
        <f t="shared" si="17"/>
        <v>#REF!</v>
      </c>
      <c r="J104" s="366" t="e">
        <f t="shared" si="14"/>
        <v>#REF!</v>
      </c>
    </row>
    <row r="105" spans="1:10" x14ac:dyDescent="0.25">
      <c r="A105" s="402" t="s">
        <v>544</v>
      </c>
      <c r="B105" s="404" t="s">
        <v>217</v>
      </c>
      <c r="C105" s="423" t="e">
        <f>#REF!</f>
        <v>#REF!</v>
      </c>
      <c r="D105" s="404">
        <v>680</v>
      </c>
      <c r="E105" s="404">
        <v>995</v>
      </c>
      <c r="F105" s="423" t="e">
        <f t="shared" si="15"/>
        <v>#REF!</v>
      </c>
      <c r="H105" s="366" t="e">
        <f t="shared" si="16"/>
        <v>#REF!</v>
      </c>
      <c r="I105" s="367" t="e">
        <f t="shared" si="17"/>
        <v>#REF!</v>
      </c>
      <c r="J105" s="366" t="e">
        <f t="shared" si="14"/>
        <v>#REF!</v>
      </c>
    </row>
    <row r="106" spans="1:10" x14ac:dyDescent="0.25">
      <c r="A106" s="406" t="s">
        <v>618</v>
      </c>
      <c r="B106" s="404" t="s">
        <v>217</v>
      </c>
      <c r="C106" s="423" t="e">
        <f>#REF!</f>
        <v>#REF!</v>
      </c>
      <c r="D106" s="404">
        <v>750</v>
      </c>
      <c r="E106" s="404">
        <v>1500</v>
      </c>
      <c r="F106" s="423" t="e">
        <f t="shared" si="15"/>
        <v>#REF!</v>
      </c>
      <c r="G106" s="370"/>
      <c r="H106" s="366" t="e">
        <f t="shared" si="16"/>
        <v>#REF!</v>
      </c>
      <c r="I106" s="367" t="e">
        <f t="shared" si="17"/>
        <v>#REF!</v>
      </c>
      <c r="J106" s="366" t="e">
        <f t="shared" si="14"/>
        <v>#REF!</v>
      </c>
    </row>
    <row r="107" spans="1:10" x14ac:dyDescent="0.25">
      <c r="A107" s="406" t="s">
        <v>486</v>
      </c>
      <c r="B107" s="404" t="s">
        <v>217</v>
      </c>
      <c r="C107" s="423" t="e">
        <f>#REF!</f>
        <v>#REF!</v>
      </c>
      <c r="D107" s="404">
        <v>3100</v>
      </c>
      <c r="E107" s="404">
        <v>5600</v>
      </c>
      <c r="F107" s="423" t="e">
        <f t="shared" si="15"/>
        <v>#REF!</v>
      </c>
      <c r="H107" s="366" t="e">
        <f t="shared" si="16"/>
        <v>#REF!</v>
      </c>
      <c r="I107" s="367" t="e">
        <f t="shared" si="17"/>
        <v>#REF!</v>
      </c>
      <c r="J107" s="366" t="e">
        <f t="shared" si="14"/>
        <v>#REF!</v>
      </c>
    </row>
    <row r="108" spans="1:10" x14ac:dyDescent="0.25">
      <c r="A108" s="395" t="s">
        <v>619</v>
      </c>
      <c r="B108" s="397" t="s">
        <v>344</v>
      </c>
      <c r="C108" s="411" t="e">
        <f>ROUNDUP(#REF!/6*5,0)+1</f>
        <v>#REF!</v>
      </c>
      <c r="D108" s="397">
        <v>700</v>
      </c>
      <c r="E108" s="397">
        <v>910</v>
      </c>
      <c r="F108" s="423" t="e">
        <f t="shared" si="15"/>
        <v>#REF!</v>
      </c>
      <c r="H108" s="366" t="e">
        <f t="shared" si="16"/>
        <v>#REF!</v>
      </c>
      <c r="I108" s="367" t="e">
        <f t="shared" si="17"/>
        <v>#REF!</v>
      </c>
      <c r="J108" s="366" t="e">
        <f t="shared" si="14"/>
        <v>#REF!</v>
      </c>
    </row>
    <row r="109" spans="1:10" x14ac:dyDescent="0.25">
      <c r="A109" s="395" t="s">
        <v>566</v>
      </c>
      <c r="B109" s="397" t="s">
        <v>23</v>
      </c>
      <c r="C109" s="411" t="e">
        <f>(#REF!+#REF!+#REF!+#REF!)/0.02</f>
        <v>#REF!</v>
      </c>
      <c r="D109" s="397">
        <v>950</v>
      </c>
      <c r="E109" s="397">
        <f>D109*1.3</f>
        <v>1235</v>
      </c>
      <c r="F109" s="423" t="e">
        <f t="shared" si="15"/>
        <v>#REF!</v>
      </c>
      <c r="G109" s="371"/>
      <c r="H109" s="366" t="e">
        <f t="shared" si="16"/>
        <v>#REF!</v>
      </c>
      <c r="I109" s="367" t="e">
        <f t="shared" si="17"/>
        <v>#REF!</v>
      </c>
      <c r="J109" s="366" t="e">
        <f t="shared" si="14"/>
        <v>#REF!</v>
      </c>
    </row>
    <row r="110" spans="1:10" x14ac:dyDescent="0.25">
      <c r="A110" s="406" t="s">
        <v>592</v>
      </c>
      <c r="B110" s="404" t="s">
        <v>479</v>
      </c>
      <c r="C110" s="404">
        <v>1</v>
      </c>
      <c r="D110" s="438">
        <v>50300</v>
      </c>
      <c r="E110" s="438">
        <f>D110*1.3</f>
        <v>65390</v>
      </c>
      <c r="F110" s="423">
        <f t="shared" si="15"/>
        <v>65390</v>
      </c>
      <c r="G110" s="360" t="s">
        <v>489</v>
      </c>
      <c r="H110" s="366">
        <f t="shared" si="16"/>
        <v>50300</v>
      </c>
      <c r="I110" s="367">
        <f t="shared" si="17"/>
        <v>30</v>
      </c>
      <c r="J110" s="366">
        <f t="shared" si="14"/>
        <v>68659.5</v>
      </c>
    </row>
    <row r="111" spans="1:10" x14ac:dyDescent="0.25">
      <c r="A111" s="406" t="s">
        <v>490</v>
      </c>
      <c r="B111" s="404" t="s">
        <v>479</v>
      </c>
      <c r="C111" s="439">
        <v>2</v>
      </c>
      <c r="D111" s="404">
        <v>6000</v>
      </c>
      <c r="E111" s="404">
        <v>10000</v>
      </c>
      <c r="F111" s="423">
        <f t="shared" si="15"/>
        <v>20000</v>
      </c>
      <c r="H111" s="366">
        <f t="shared" si="16"/>
        <v>12000</v>
      </c>
      <c r="I111" s="367">
        <f t="shared" si="17"/>
        <v>66.666666666666686</v>
      </c>
      <c r="J111" s="366">
        <f t="shared" si="14"/>
        <v>21000</v>
      </c>
    </row>
    <row r="112" spans="1:10" x14ac:dyDescent="0.25">
      <c r="A112" s="395" t="s">
        <v>280</v>
      </c>
      <c r="B112" s="397" t="s">
        <v>496</v>
      </c>
      <c r="C112" s="397">
        <v>1</v>
      </c>
      <c r="D112" s="397">
        <v>15000</v>
      </c>
      <c r="E112" s="397">
        <v>18000</v>
      </c>
      <c r="F112" s="398">
        <f>C112*E112</f>
        <v>18000</v>
      </c>
      <c r="H112" s="366">
        <f>C112*D112</f>
        <v>15000</v>
      </c>
      <c r="I112" s="367">
        <f>F112/H112*100-100</f>
        <v>20</v>
      </c>
      <c r="J112" s="366">
        <f t="shared" si="14"/>
        <v>18900</v>
      </c>
    </row>
    <row r="113" spans="1:10" x14ac:dyDescent="0.25">
      <c r="A113" s="395" t="s">
        <v>588</v>
      </c>
      <c r="B113" s="397"/>
      <c r="C113" s="397"/>
      <c r="D113" s="397"/>
      <c r="E113" s="397"/>
      <c r="F113" s="401" t="e">
        <f>SUM(F91:F112)*0.11</f>
        <v>#REF!</v>
      </c>
      <c r="G113" s="401">
        <f>SUM(G91:G112)*0.11</f>
        <v>0.34375</v>
      </c>
      <c r="H113" s="401" t="e">
        <f>SUM(H91:H112)*0.11</f>
        <v>#REF!</v>
      </c>
      <c r="I113" s="367" t="e">
        <f>F113/H113*100-100</f>
        <v>#REF!</v>
      </c>
      <c r="J113" s="368" t="e">
        <f t="shared" si="14"/>
        <v>#REF!</v>
      </c>
    </row>
    <row r="114" spans="1:10" x14ac:dyDescent="0.25">
      <c r="A114" s="616" t="s">
        <v>181</v>
      </c>
      <c r="B114" s="617"/>
      <c r="C114" s="617"/>
      <c r="D114" s="617"/>
      <c r="E114" s="618"/>
      <c r="F114" s="401" t="e">
        <f>SUM(F93:F113)</f>
        <v>#REF!</v>
      </c>
      <c r="G114" s="401">
        <f>SUM(G93:G113)</f>
        <v>3.46875</v>
      </c>
      <c r="H114" s="401" t="e">
        <f>SUM(H93:H113)</f>
        <v>#REF!</v>
      </c>
      <c r="I114" s="367" t="e">
        <f t="shared" si="17"/>
        <v>#REF!</v>
      </c>
      <c r="J114" s="368" t="e">
        <f t="shared" si="14"/>
        <v>#REF!</v>
      </c>
    </row>
    <row r="115" spans="1:10" ht="13.8" thickBot="1" x14ac:dyDescent="0.3">
      <c r="A115" s="616" t="s">
        <v>520</v>
      </c>
      <c r="B115" s="617"/>
      <c r="C115" s="617"/>
      <c r="D115" s="617"/>
      <c r="E115" s="618"/>
      <c r="F115" s="401" t="e">
        <f>F91+F114</f>
        <v>#REF!</v>
      </c>
      <c r="G115" s="401"/>
      <c r="H115" s="401" t="e">
        <f>H91+H114</f>
        <v>#REF!</v>
      </c>
      <c r="I115" s="367" t="e">
        <f t="shared" si="17"/>
        <v>#REF!</v>
      </c>
      <c r="J115" s="368" t="e">
        <f t="shared" si="14"/>
        <v>#REF!</v>
      </c>
    </row>
    <row r="116" spans="1:10" ht="14.4" thickBot="1" x14ac:dyDescent="0.3">
      <c r="A116" s="619" t="s">
        <v>491</v>
      </c>
      <c r="B116" s="620"/>
      <c r="C116" s="620"/>
      <c r="D116" s="620"/>
      <c r="E116" s="620"/>
      <c r="F116" s="621"/>
      <c r="I116" s="367"/>
      <c r="J116" s="434"/>
    </row>
    <row r="117" spans="1:10" x14ac:dyDescent="0.25">
      <c r="A117" s="622" t="s">
        <v>511</v>
      </c>
      <c r="B117" s="622"/>
      <c r="C117" s="622"/>
      <c r="D117" s="622"/>
      <c r="E117" s="622"/>
      <c r="F117" s="622"/>
      <c r="I117" s="367"/>
    </row>
    <row r="118" spans="1:10" x14ac:dyDescent="0.25">
      <c r="A118" s="395" t="s">
        <v>567</v>
      </c>
      <c r="B118" s="397" t="s">
        <v>23</v>
      </c>
      <c r="C118" s="411" t="e">
        <f>#REF!+#REF!</f>
        <v>#REF!</v>
      </c>
      <c r="D118" s="397">
        <v>1500</v>
      </c>
      <c r="E118" s="397">
        <v>2000</v>
      </c>
      <c r="F118" s="398" t="e">
        <f t="shared" ref="F118:F123" si="18">C118*E118</f>
        <v>#REF!</v>
      </c>
      <c r="G118" s="369"/>
      <c r="H118" s="366" t="e">
        <f t="shared" ref="H118:H124" si="19">C118*D118</f>
        <v>#REF!</v>
      </c>
      <c r="I118" s="367" t="e">
        <f t="shared" si="17"/>
        <v>#REF!</v>
      </c>
      <c r="J118" s="366" t="e">
        <f>F118*1.05</f>
        <v>#REF!</v>
      </c>
    </row>
    <row r="119" spans="1:10" x14ac:dyDescent="0.25">
      <c r="A119" s="395" t="s">
        <v>568</v>
      </c>
      <c r="B119" s="397" t="s">
        <v>23</v>
      </c>
      <c r="C119" s="411" t="e">
        <f>#REF!+#REF!</f>
        <v>#REF!</v>
      </c>
      <c r="D119" s="397">
        <v>2000</v>
      </c>
      <c r="E119" s="397">
        <v>2500</v>
      </c>
      <c r="F119" s="398" t="e">
        <f t="shared" si="18"/>
        <v>#REF!</v>
      </c>
      <c r="G119" s="369" t="s">
        <v>585</v>
      </c>
      <c r="H119" s="366" t="e">
        <f t="shared" si="19"/>
        <v>#REF!</v>
      </c>
      <c r="I119" s="367" t="e">
        <f t="shared" si="17"/>
        <v>#REF!</v>
      </c>
      <c r="J119" s="366" t="e">
        <f t="shared" ref="J119:J139" si="20">F119*1.05</f>
        <v>#REF!</v>
      </c>
    </row>
    <row r="120" spans="1:10" x14ac:dyDescent="0.25">
      <c r="A120" s="395" t="s">
        <v>338</v>
      </c>
      <c r="B120" s="397" t="s">
        <v>10</v>
      </c>
      <c r="C120" s="397" t="e">
        <f>C51</f>
        <v>#REF!</v>
      </c>
      <c r="D120" s="397">
        <v>250</v>
      </c>
      <c r="E120" s="397">
        <v>500</v>
      </c>
      <c r="F120" s="398" t="e">
        <f t="shared" si="18"/>
        <v>#REF!</v>
      </c>
      <c r="H120" s="366" t="e">
        <f t="shared" si="19"/>
        <v>#REF!</v>
      </c>
      <c r="I120" s="367" t="e">
        <f t="shared" si="17"/>
        <v>#REF!</v>
      </c>
      <c r="J120" s="366" t="e">
        <f t="shared" si="20"/>
        <v>#REF!</v>
      </c>
    </row>
    <row r="121" spans="1:10" x14ac:dyDescent="0.25">
      <c r="A121" s="395" t="s">
        <v>339</v>
      </c>
      <c r="B121" s="397" t="s">
        <v>34</v>
      </c>
      <c r="C121" s="398" t="e">
        <f>#REF!</f>
        <v>#REF!</v>
      </c>
      <c r="D121" s="397">
        <v>100</v>
      </c>
      <c r="E121" s="397">
        <v>220</v>
      </c>
      <c r="F121" s="398" t="e">
        <f t="shared" si="18"/>
        <v>#REF!</v>
      </c>
      <c r="H121" s="366" t="e">
        <f t="shared" si="19"/>
        <v>#REF!</v>
      </c>
      <c r="I121" s="367" t="e">
        <f t="shared" si="17"/>
        <v>#REF!</v>
      </c>
      <c r="J121" s="366" t="e">
        <f t="shared" si="20"/>
        <v>#REF!</v>
      </c>
    </row>
    <row r="122" spans="1:10" x14ac:dyDescent="0.25">
      <c r="A122" s="395" t="s">
        <v>605</v>
      </c>
      <c r="B122" s="397" t="s">
        <v>10</v>
      </c>
      <c r="C122" s="437"/>
      <c r="D122" s="397">
        <v>2500</v>
      </c>
      <c r="E122" s="397">
        <v>5000</v>
      </c>
      <c r="F122" s="398">
        <f t="shared" si="18"/>
        <v>0</v>
      </c>
      <c r="I122" s="367"/>
    </row>
    <row r="123" spans="1:10" x14ac:dyDescent="0.25">
      <c r="A123" s="395" t="s">
        <v>340</v>
      </c>
      <c r="B123" s="397" t="s">
        <v>10</v>
      </c>
      <c r="C123" s="440" t="e">
        <f>#REF!</f>
        <v>#REF!</v>
      </c>
      <c r="D123" s="397">
        <v>2200</v>
      </c>
      <c r="E123" s="397">
        <v>4500</v>
      </c>
      <c r="F123" s="398" t="e">
        <f t="shared" si="18"/>
        <v>#REF!</v>
      </c>
      <c r="H123" s="366" t="e">
        <f t="shared" si="19"/>
        <v>#REF!</v>
      </c>
      <c r="I123" s="367" t="e">
        <f t="shared" si="17"/>
        <v>#REF!</v>
      </c>
      <c r="J123" s="366" t="e">
        <f t="shared" si="20"/>
        <v>#REF!</v>
      </c>
    </row>
    <row r="124" spans="1:10" x14ac:dyDescent="0.25">
      <c r="A124" s="395" t="s">
        <v>586</v>
      </c>
      <c r="B124" s="397" t="s">
        <v>34</v>
      </c>
      <c r="C124" s="414" t="e">
        <f>#REF!+#REF!+#REF!</f>
        <v>#REF!</v>
      </c>
      <c r="D124" s="397">
        <v>200</v>
      </c>
      <c r="E124" s="397">
        <f>D124*1.5</f>
        <v>300</v>
      </c>
      <c r="F124" s="398"/>
      <c r="H124" s="366" t="e">
        <f t="shared" si="19"/>
        <v>#REF!</v>
      </c>
      <c r="I124" s="367"/>
      <c r="J124" s="366">
        <f t="shared" si="20"/>
        <v>0</v>
      </c>
    </row>
    <row r="125" spans="1:10" x14ac:dyDescent="0.25">
      <c r="A125" s="395"/>
      <c r="B125" s="397"/>
      <c r="C125" s="397"/>
      <c r="D125" s="397"/>
      <c r="E125" s="400" t="s">
        <v>181</v>
      </c>
      <c r="F125" s="422" t="e">
        <f>SUM(F118:F123)</f>
        <v>#REF!</v>
      </c>
      <c r="H125" s="368" t="e">
        <f>SUM(H118:H124)</f>
        <v>#REF!</v>
      </c>
      <c r="I125" s="367" t="e">
        <f t="shared" si="17"/>
        <v>#REF!</v>
      </c>
      <c r="J125" s="368" t="e">
        <f t="shared" si="20"/>
        <v>#REF!</v>
      </c>
    </row>
    <row r="126" spans="1:10" x14ac:dyDescent="0.25">
      <c r="A126" s="629" t="s">
        <v>512</v>
      </c>
      <c r="B126" s="630"/>
      <c r="C126" s="630"/>
      <c r="D126" s="630"/>
      <c r="E126" s="630"/>
      <c r="F126" s="631"/>
      <c r="I126" s="367"/>
    </row>
    <row r="127" spans="1:10" x14ac:dyDescent="0.25">
      <c r="A127" s="406" t="s">
        <v>569</v>
      </c>
      <c r="B127" s="397" t="s">
        <v>23</v>
      </c>
      <c r="C127" s="411" t="e">
        <f>#REF!+#REF!</f>
        <v>#REF!</v>
      </c>
      <c r="D127" s="397">
        <v>16000</v>
      </c>
      <c r="E127" s="397">
        <v>18500</v>
      </c>
      <c r="F127" s="398"/>
      <c r="H127" s="366" t="e">
        <f>C127*D127</f>
        <v>#REF!</v>
      </c>
      <c r="I127" s="367" t="e">
        <f t="shared" si="17"/>
        <v>#REF!</v>
      </c>
      <c r="J127" s="366">
        <f t="shared" si="20"/>
        <v>0</v>
      </c>
    </row>
    <row r="128" spans="1:10" ht="26.4" x14ac:dyDescent="0.25">
      <c r="A128" s="406" t="s">
        <v>546</v>
      </c>
      <c r="B128" s="397" t="s">
        <v>10</v>
      </c>
      <c r="C128" s="414" t="e">
        <f>C84</f>
        <v>#REF!</v>
      </c>
      <c r="D128" s="397">
        <v>24000</v>
      </c>
      <c r="E128" s="397">
        <v>33000</v>
      </c>
      <c r="F128" s="398" t="e">
        <f>C128*E128</f>
        <v>#REF!</v>
      </c>
      <c r="G128" s="360" t="s">
        <v>545</v>
      </c>
      <c r="H128" s="366" t="e">
        <f>C128*D128</f>
        <v>#REF!</v>
      </c>
      <c r="I128" s="367" t="e">
        <f t="shared" si="17"/>
        <v>#REF!</v>
      </c>
      <c r="J128" s="366" t="e">
        <f t="shared" si="20"/>
        <v>#REF!</v>
      </c>
    </row>
    <row r="129" spans="1:10" x14ac:dyDescent="0.25">
      <c r="A129" s="406" t="s">
        <v>601</v>
      </c>
      <c r="B129" s="397" t="s">
        <v>23</v>
      </c>
      <c r="C129" s="411" t="e">
        <f>#REF!+#REF!</f>
        <v>#REF!</v>
      </c>
      <c r="D129" s="397">
        <v>5500</v>
      </c>
      <c r="E129" s="397">
        <v>7800</v>
      </c>
      <c r="F129" s="398" t="e">
        <f t="shared" ref="F129:F136" si="21">C129*E129</f>
        <v>#REF!</v>
      </c>
      <c r="H129" s="366" t="e">
        <f t="shared" ref="H129:H136" si="22">C129*D129</f>
        <v>#REF!</v>
      </c>
      <c r="I129" s="367" t="e">
        <f t="shared" si="17"/>
        <v>#REF!</v>
      </c>
      <c r="J129" s="366" t="e">
        <f t="shared" si="20"/>
        <v>#REF!</v>
      </c>
    </row>
    <row r="130" spans="1:10" x14ac:dyDescent="0.25">
      <c r="A130" s="406" t="s">
        <v>343</v>
      </c>
      <c r="B130" s="397" t="s">
        <v>344</v>
      </c>
      <c r="C130" s="397" t="e">
        <f>ROUNDUP((#REF!+#REF!+#REF!+#REF!)/11,0)</f>
        <v>#REF!</v>
      </c>
      <c r="D130" s="397">
        <v>760</v>
      </c>
      <c r="E130" s="397">
        <v>880</v>
      </c>
      <c r="F130" s="398" t="e">
        <f t="shared" si="21"/>
        <v>#REF!</v>
      </c>
      <c r="H130" s="366" t="e">
        <f t="shared" si="22"/>
        <v>#REF!</v>
      </c>
      <c r="I130" s="367" t="e">
        <f t="shared" si="17"/>
        <v>#REF!</v>
      </c>
      <c r="J130" s="366" t="e">
        <f t="shared" si="20"/>
        <v>#REF!</v>
      </c>
    </row>
    <row r="131" spans="1:10" x14ac:dyDescent="0.25">
      <c r="A131" s="406" t="s">
        <v>345</v>
      </c>
      <c r="B131" s="397" t="s">
        <v>10</v>
      </c>
      <c r="C131" s="397" t="e">
        <f>ROUNDUP((#REF!+#REF!+#REF!+#REF!)/2,0)</f>
        <v>#REF!</v>
      </c>
      <c r="D131" s="397">
        <v>260</v>
      </c>
      <c r="E131" s="397">
        <v>360</v>
      </c>
      <c r="F131" s="398" t="e">
        <f t="shared" si="21"/>
        <v>#REF!</v>
      </c>
      <c r="G131" s="360" t="s">
        <v>492</v>
      </c>
      <c r="H131" s="366" t="e">
        <f t="shared" si="22"/>
        <v>#REF!</v>
      </c>
      <c r="I131" s="367" t="e">
        <f t="shared" si="17"/>
        <v>#REF!</v>
      </c>
      <c r="J131" s="366" t="e">
        <f t="shared" si="20"/>
        <v>#REF!</v>
      </c>
    </row>
    <row r="132" spans="1:10" x14ac:dyDescent="0.25">
      <c r="A132" s="406" t="s">
        <v>493</v>
      </c>
      <c r="B132" s="397" t="s">
        <v>34</v>
      </c>
      <c r="C132" s="398" t="e">
        <f>#REF!</f>
        <v>#REF!</v>
      </c>
      <c r="D132" s="397">
        <v>220</v>
      </c>
      <c r="E132" s="397">
        <v>350</v>
      </c>
      <c r="F132" s="398" t="e">
        <f t="shared" si="21"/>
        <v>#REF!</v>
      </c>
      <c r="G132" s="441" t="s">
        <v>584</v>
      </c>
      <c r="H132" s="366" t="e">
        <f t="shared" si="22"/>
        <v>#REF!</v>
      </c>
      <c r="I132" s="367" t="e">
        <f t="shared" si="17"/>
        <v>#REF!</v>
      </c>
      <c r="J132" s="366" t="e">
        <f t="shared" si="20"/>
        <v>#REF!</v>
      </c>
    </row>
    <row r="133" spans="1:10" ht="14.25" customHeight="1" x14ac:dyDescent="0.25">
      <c r="A133" s="406" t="s">
        <v>606</v>
      </c>
      <c r="B133" s="397" t="s">
        <v>10</v>
      </c>
      <c r="C133" s="398">
        <f>C122</f>
        <v>0</v>
      </c>
      <c r="D133" s="397">
        <v>48000</v>
      </c>
      <c r="E133" s="397">
        <f>D133*1.2</f>
        <v>57600</v>
      </c>
      <c r="F133" s="398">
        <f t="shared" si="21"/>
        <v>0</v>
      </c>
      <c r="H133" s="366">
        <f t="shared" si="22"/>
        <v>0</v>
      </c>
      <c r="I133" s="367" t="e">
        <f t="shared" si="17"/>
        <v>#DIV/0!</v>
      </c>
      <c r="J133" s="366">
        <f>F133*1.05</f>
        <v>0</v>
      </c>
    </row>
    <row r="134" spans="1:10" ht="14.25" customHeight="1" x14ac:dyDescent="0.25">
      <c r="A134" s="406" t="s">
        <v>346</v>
      </c>
      <c r="B134" s="397" t="s">
        <v>10</v>
      </c>
      <c r="C134" s="414" t="e">
        <f>C123</f>
        <v>#REF!</v>
      </c>
      <c r="D134" s="397">
        <v>4000</v>
      </c>
      <c r="E134" s="397">
        <v>5000</v>
      </c>
      <c r="F134" s="398" t="e">
        <f t="shared" si="21"/>
        <v>#REF!</v>
      </c>
      <c r="H134" s="366" t="e">
        <f t="shared" si="22"/>
        <v>#REF!</v>
      </c>
      <c r="I134" s="367" t="e">
        <f t="shared" si="17"/>
        <v>#REF!</v>
      </c>
      <c r="J134" s="366" t="e">
        <f t="shared" si="20"/>
        <v>#REF!</v>
      </c>
    </row>
    <row r="135" spans="1:10" ht="14.25" customHeight="1" x14ac:dyDescent="0.25">
      <c r="A135" s="406" t="s">
        <v>587</v>
      </c>
      <c r="B135" s="397" t="s">
        <v>34</v>
      </c>
      <c r="C135" s="414" t="e">
        <f>C124</f>
        <v>#REF!</v>
      </c>
      <c r="D135" s="397">
        <v>220</v>
      </c>
      <c r="E135" s="397">
        <v>350</v>
      </c>
      <c r="F135" s="398" t="e">
        <f t="shared" si="21"/>
        <v>#REF!</v>
      </c>
      <c r="I135" s="367"/>
      <c r="J135" s="366" t="e">
        <f t="shared" si="20"/>
        <v>#REF!</v>
      </c>
    </row>
    <row r="136" spans="1:10" x14ac:dyDescent="0.25">
      <c r="A136" s="406" t="s">
        <v>230</v>
      </c>
      <c r="B136" s="397" t="s">
        <v>479</v>
      </c>
      <c r="C136" s="419">
        <v>1</v>
      </c>
      <c r="D136" s="397">
        <v>3000</v>
      </c>
      <c r="E136" s="397">
        <v>6000</v>
      </c>
      <c r="F136" s="398">
        <f t="shared" si="21"/>
        <v>6000</v>
      </c>
      <c r="H136" s="366">
        <f t="shared" si="22"/>
        <v>3000</v>
      </c>
      <c r="I136" s="367">
        <f t="shared" si="17"/>
        <v>100</v>
      </c>
      <c r="J136" s="366">
        <f t="shared" si="20"/>
        <v>6300</v>
      </c>
    </row>
    <row r="137" spans="1:10" x14ac:dyDescent="0.25">
      <c r="A137" s="395" t="s">
        <v>588</v>
      </c>
      <c r="B137" s="397"/>
      <c r="C137" s="397"/>
      <c r="D137" s="397"/>
      <c r="E137" s="397"/>
      <c r="F137" s="401" t="e">
        <f>SUM(F125:F136)*0.11</f>
        <v>#REF!</v>
      </c>
      <c r="G137" s="401">
        <f>SUM(G125:G136)*0.11</f>
        <v>0</v>
      </c>
      <c r="H137" s="401" t="e">
        <f>SUM(H125:H136)*0.11</f>
        <v>#REF!</v>
      </c>
      <c r="I137" s="367" t="e">
        <f>F137/H137*100-100</f>
        <v>#REF!</v>
      </c>
      <c r="J137" s="368" t="e">
        <f t="shared" si="20"/>
        <v>#REF!</v>
      </c>
    </row>
    <row r="138" spans="1:10" x14ac:dyDescent="0.25">
      <c r="A138" s="616" t="s">
        <v>181</v>
      </c>
      <c r="B138" s="617"/>
      <c r="C138" s="617"/>
      <c r="D138" s="617"/>
      <c r="E138" s="618"/>
      <c r="F138" s="401" t="e">
        <f>SUM(F127:F137)</f>
        <v>#REF!</v>
      </c>
      <c r="G138" s="401">
        <f>SUM(G127:G137)</f>
        <v>0</v>
      </c>
      <c r="H138" s="401" t="e">
        <f>SUM(H127:H137)</f>
        <v>#REF!</v>
      </c>
      <c r="I138" s="367" t="e">
        <f t="shared" si="17"/>
        <v>#REF!</v>
      </c>
      <c r="J138" s="368" t="e">
        <f t="shared" si="20"/>
        <v>#REF!</v>
      </c>
    </row>
    <row r="139" spans="1:10" ht="13.8" thickBot="1" x14ac:dyDescent="0.3">
      <c r="A139" s="616" t="s">
        <v>521</v>
      </c>
      <c r="B139" s="617"/>
      <c r="C139" s="617"/>
      <c r="D139" s="617"/>
      <c r="E139" s="618"/>
      <c r="F139" s="401" t="e">
        <f>F125+F138</f>
        <v>#REF!</v>
      </c>
      <c r="G139" s="401"/>
      <c r="H139" s="401" t="e">
        <f>H125+H138</f>
        <v>#REF!</v>
      </c>
      <c r="I139" s="367" t="e">
        <f t="shared" si="17"/>
        <v>#REF!</v>
      </c>
      <c r="J139" s="368" t="e">
        <f t="shared" si="20"/>
        <v>#REF!</v>
      </c>
    </row>
    <row r="140" spans="1:10" ht="14.4" thickBot="1" x14ac:dyDescent="0.3">
      <c r="A140" s="623" t="s">
        <v>455</v>
      </c>
      <c r="B140" s="624"/>
      <c r="C140" s="624"/>
      <c r="D140" s="624"/>
      <c r="E140" s="624"/>
      <c r="F140" s="625"/>
      <c r="I140" s="367"/>
      <c r="J140" s="434"/>
    </row>
    <row r="141" spans="1:10" x14ac:dyDescent="0.25">
      <c r="A141" s="622" t="s">
        <v>511</v>
      </c>
      <c r="B141" s="622"/>
      <c r="C141" s="622"/>
      <c r="D141" s="622"/>
      <c r="E141" s="622"/>
      <c r="F141" s="622"/>
      <c r="I141" s="367"/>
    </row>
    <row r="142" spans="1:10" x14ac:dyDescent="0.25">
      <c r="A142" s="395" t="s">
        <v>349</v>
      </c>
      <c r="B142" s="397" t="s">
        <v>34</v>
      </c>
      <c r="C142" s="419">
        <v>73</v>
      </c>
      <c r="D142" s="397">
        <v>200</v>
      </c>
      <c r="E142" s="397">
        <v>280</v>
      </c>
      <c r="F142" s="398">
        <f t="shared" ref="F142:F152" si="23">C142*E142</f>
        <v>20440</v>
      </c>
      <c r="H142" s="366">
        <f>C142*D142</f>
        <v>14600</v>
      </c>
      <c r="I142" s="367">
        <f t="shared" si="17"/>
        <v>40</v>
      </c>
      <c r="J142" s="366">
        <f>F142*1.05</f>
        <v>21462</v>
      </c>
    </row>
    <row r="143" spans="1:10" x14ac:dyDescent="0.25">
      <c r="A143" s="395" t="s">
        <v>504</v>
      </c>
      <c r="B143" s="397" t="s">
        <v>34</v>
      </c>
      <c r="C143" s="419">
        <f>C142</f>
        <v>73</v>
      </c>
      <c r="D143" s="397">
        <v>200</v>
      </c>
      <c r="E143" s="397">
        <v>280</v>
      </c>
      <c r="F143" s="398">
        <f t="shared" si="23"/>
        <v>20440</v>
      </c>
      <c r="H143" s="366">
        <f t="shared" ref="H143:H152" si="24">C143*D143</f>
        <v>14600</v>
      </c>
      <c r="I143" s="367">
        <f t="shared" si="17"/>
        <v>40</v>
      </c>
      <c r="J143" s="366">
        <f t="shared" ref="J143:J167" si="25">F143*1.05</f>
        <v>21462</v>
      </c>
    </row>
    <row r="144" spans="1:10" x14ac:dyDescent="0.25">
      <c r="A144" s="395" t="s">
        <v>354</v>
      </c>
      <c r="B144" s="397" t="s">
        <v>23</v>
      </c>
      <c r="C144" s="419">
        <v>171</v>
      </c>
      <c r="D144" s="397">
        <v>280</v>
      </c>
      <c r="E144" s="397">
        <v>370</v>
      </c>
      <c r="F144" s="398">
        <f t="shared" si="23"/>
        <v>63270</v>
      </c>
      <c r="H144" s="366">
        <f t="shared" si="24"/>
        <v>47880</v>
      </c>
      <c r="I144" s="367">
        <f t="shared" si="17"/>
        <v>32.142857142857139</v>
      </c>
      <c r="J144" s="366">
        <f t="shared" si="25"/>
        <v>66433.5</v>
      </c>
    </row>
    <row r="145" spans="1:10" x14ac:dyDescent="0.25">
      <c r="A145" s="395" t="s">
        <v>355</v>
      </c>
      <c r="B145" s="397" t="s">
        <v>23</v>
      </c>
      <c r="C145" s="419">
        <f>C144</f>
        <v>171</v>
      </c>
      <c r="D145" s="397">
        <v>50</v>
      </c>
      <c r="E145" s="397">
        <v>100</v>
      </c>
      <c r="F145" s="398">
        <f t="shared" si="23"/>
        <v>17100</v>
      </c>
      <c r="H145" s="366">
        <f>C145*D145</f>
        <v>8550</v>
      </c>
      <c r="I145" s="367">
        <f t="shared" si="17"/>
        <v>100</v>
      </c>
      <c r="J145" s="366">
        <f t="shared" si="25"/>
        <v>17955</v>
      </c>
    </row>
    <row r="146" spans="1:10" x14ac:dyDescent="0.25">
      <c r="A146" s="395" t="s">
        <v>505</v>
      </c>
      <c r="B146" s="397" t="s">
        <v>23</v>
      </c>
      <c r="C146" s="419">
        <f>C145</f>
        <v>171</v>
      </c>
      <c r="D146" s="397">
        <v>130</v>
      </c>
      <c r="E146" s="397">
        <v>350</v>
      </c>
      <c r="F146" s="398">
        <f t="shared" si="23"/>
        <v>59850</v>
      </c>
      <c r="H146" s="366">
        <f t="shared" si="24"/>
        <v>22230</v>
      </c>
      <c r="I146" s="367">
        <f t="shared" si="17"/>
        <v>169.23076923076923</v>
      </c>
      <c r="J146" s="366">
        <f t="shared" si="25"/>
        <v>62842.5</v>
      </c>
    </row>
    <row r="147" spans="1:10" x14ac:dyDescent="0.25">
      <c r="A147" s="444" t="s">
        <v>607</v>
      </c>
      <c r="B147" s="445" t="s">
        <v>23</v>
      </c>
      <c r="C147" s="446"/>
      <c r="D147" s="445">
        <v>650</v>
      </c>
      <c r="E147" s="445">
        <v>1200</v>
      </c>
      <c r="F147" s="445">
        <f>C147*E147</f>
        <v>0</v>
      </c>
      <c r="H147" s="366">
        <f t="shared" si="24"/>
        <v>0</v>
      </c>
      <c r="I147" s="367" t="e">
        <f>F147/H147*100-100</f>
        <v>#DIV/0!</v>
      </c>
      <c r="J147" s="366">
        <f>F147*1.05</f>
        <v>0</v>
      </c>
    </row>
    <row r="148" spans="1:10" x14ac:dyDescent="0.25">
      <c r="A148" s="395" t="s">
        <v>608</v>
      </c>
      <c r="B148" s="397" t="s">
        <v>34</v>
      </c>
      <c r="C148" s="419"/>
      <c r="D148" s="397">
        <v>500</v>
      </c>
      <c r="E148" s="397">
        <v>800</v>
      </c>
      <c r="F148" s="398">
        <f>C148*E148</f>
        <v>0</v>
      </c>
      <c r="H148" s="366">
        <f t="shared" si="24"/>
        <v>0</v>
      </c>
      <c r="I148" s="367" t="e">
        <f>F148/H148*100-100</f>
        <v>#DIV/0!</v>
      </c>
    </row>
    <row r="149" spans="1:10" x14ac:dyDescent="0.25">
      <c r="A149" s="395" t="s">
        <v>609</v>
      </c>
      <c r="B149" s="397" t="s">
        <v>34</v>
      </c>
      <c r="C149" s="419"/>
      <c r="D149" s="397">
        <v>300</v>
      </c>
      <c r="E149" s="397">
        <v>600</v>
      </c>
      <c r="F149" s="398">
        <f>C149*E149</f>
        <v>0</v>
      </c>
      <c r="H149" s="366">
        <f t="shared" si="24"/>
        <v>0</v>
      </c>
      <c r="I149" s="367" t="e">
        <f>F149/H149*100-100</f>
        <v>#DIV/0!</v>
      </c>
    </row>
    <row r="150" spans="1:10" x14ac:dyDescent="0.25">
      <c r="A150" s="395" t="s">
        <v>610</v>
      </c>
      <c r="B150" s="397" t="s">
        <v>34</v>
      </c>
      <c r="C150" s="419"/>
      <c r="D150" s="397">
        <v>400</v>
      </c>
      <c r="E150" s="397">
        <v>800</v>
      </c>
      <c r="F150" s="398">
        <f>C150*E150</f>
        <v>0</v>
      </c>
      <c r="H150" s="366">
        <f t="shared" si="24"/>
        <v>0</v>
      </c>
      <c r="I150" s="367" t="e">
        <f>F150/H150*100-100</f>
        <v>#DIV/0!</v>
      </c>
    </row>
    <row r="151" spans="1:10" x14ac:dyDescent="0.25">
      <c r="A151" s="395" t="s">
        <v>358</v>
      </c>
      <c r="B151" s="397" t="s">
        <v>10</v>
      </c>
      <c r="C151" s="397" t="e">
        <f>C120</f>
        <v>#REF!</v>
      </c>
      <c r="D151" s="397">
        <v>600</v>
      </c>
      <c r="E151" s="397">
        <v>800</v>
      </c>
      <c r="F151" s="398" t="e">
        <f t="shared" si="23"/>
        <v>#REF!</v>
      </c>
      <c r="H151" s="366" t="e">
        <f t="shared" si="24"/>
        <v>#REF!</v>
      </c>
      <c r="I151" s="367" t="e">
        <f t="shared" si="17"/>
        <v>#REF!</v>
      </c>
      <c r="J151" s="366" t="e">
        <f t="shared" si="25"/>
        <v>#REF!</v>
      </c>
    </row>
    <row r="152" spans="1:10" x14ac:dyDescent="0.25">
      <c r="A152" s="395" t="s">
        <v>359</v>
      </c>
      <c r="B152" s="397" t="s">
        <v>10</v>
      </c>
      <c r="C152" s="397" t="e">
        <f>C120</f>
        <v>#REF!</v>
      </c>
      <c r="D152" s="397">
        <v>800</v>
      </c>
      <c r="E152" s="397">
        <v>1500</v>
      </c>
      <c r="F152" s="398" t="e">
        <f t="shared" si="23"/>
        <v>#REF!</v>
      </c>
      <c r="H152" s="366" t="e">
        <f t="shared" si="24"/>
        <v>#REF!</v>
      </c>
      <c r="I152" s="367" t="e">
        <f t="shared" si="17"/>
        <v>#REF!</v>
      </c>
      <c r="J152" s="366" t="e">
        <f t="shared" si="25"/>
        <v>#REF!</v>
      </c>
    </row>
    <row r="153" spans="1:10" x14ac:dyDescent="0.25">
      <c r="A153" s="424"/>
      <c r="B153" s="425"/>
      <c r="C153" s="425"/>
      <c r="D153" s="425"/>
      <c r="E153" s="400" t="s">
        <v>181</v>
      </c>
      <c r="F153" s="422" t="e">
        <f>SUM(F142:F152)</f>
        <v>#REF!</v>
      </c>
      <c r="H153" s="368" t="e">
        <f>SUM(H142:H152)</f>
        <v>#REF!</v>
      </c>
      <c r="I153" s="367"/>
      <c r="J153" s="368" t="e">
        <f t="shared" si="25"/>
        <v>#REF!</v>
      </c>
    </row>
    <row r="154" spans="1:10" x14ac:dyDescent="0.25">
      <c r="A154" s="629" t="s">
        <v>512</v>
      </c>
      <c r="B154" s="630"/>
      <c r="C154" s="630"/>
      <c r="D154" s="630"/>
      <c r="E154" s="630"/>
      <c r="F154" s="631"/>
      <c r="I154" s="367"/>
    </row>
    <row r="155" spans="1:10" x14ac:dyDescent="0.25">
      <c r="A155" s="406" t="s">
        <v>547</v>
      </c>
      <c r="B155" s="404" t="s">
        <v>10</v>
      </c>
      <c r="C155" s="423">
        <f>C145/2+(C142*0.2)/2</f>
        <v>92.8</v>
      </c>
      <c r="D155" s="404">
        <v>70</v>
      </c>
      <c r="E155" s="404">
        <f>D155*1.4</f>
        <v>98</v>
      </c>
      <c r="F155" s="423">
        <f t="shared" ref="F155:F164" si="26">C155*E155</f>
        <v>9094.4</v>
      </c>
      <c r="H155" s="366">
        <f>C155*D155</f>
        <v>6496</v>
      </c>
      <c r="I155" s="367">
        <f t="shared" si="17"/>
        <v>40</v>
      </c>
      <c r="J155" s="366">
        <f t="shared" si="25"/>
        <v>9549.1200000000008</v>
      </c>
    </row>
    <row r="156" spans="1:10" x14ac:dyDescent="0.25">
      <c r="A156" s="406" t="s">
        <v>494</v>
      </c>
      <c r="B156" s="404" t="s">
        <v>330</v>
      </c>
      <c r="C156" s="423">
        <f>ROUNDUP(C142*0.2/3,0)</f>
        <v>5</v>
      </c>
      <c r="D156" s="404">
        <v>1000</v>
      </c>
      <c r="E156" s="404">
        <f>D156*1.3</f>
        <v>1300</v>
      </c>
      <c r="F156" s="423">
        <f t="shared" si="26"/>
        <v>6500</v>
      </c>
      <c r="H156" s="366">
        <f t="shared" ref="H156:H164" si="27">C156*D156</f>
        <v>5000</v>
      </c>
      <c r="I156" s="367">
        <f t="shared" si="17"/>
        <v>30</v>
      </c>
      <c r="J156" s="366">
        <f t="shared" si="25"/>
        <v>6825</v>
      </c>
    </row>
    <row r="157" spans="1:10" x14ac:dyDescent="0.25">
      <c r="A157" s="406" t="s">
        <v>495</v>
      </c>
      <c r="B157" s="404" t="s">
        <v>330</v>
      </c>
      <c r="C157" s="423">
        <f>ROUNDUP(C144/10,0)</f>
        <v>18</v>
      </c>
      <c r="D157" s="404">
        <v>650</v>
      </c>
      <c r="E157" s="404">
        <v>880</v>
      </c>
      <c r="F157" s="423">
        <f t="shared" si="26"/>
        <v>15840</v>
      </c>
      <c r="H157" s="366">
        <f t="shared" si="27"/>
        <v>11700</v>
      </c>
      <c r="I157" s="367">
        <f t="shared" si="17"/>
        <v>35.384615384615387</v>
      </c>
      <c r="J157" s="366">
        <f t="shared" si="25"/>
        <v>16632</v>
      </c>
    </row>
    <row r="158" spans="1:10" x14ac:dyDescent="0.25">
      <c r="A158" s="406" t="s">
        <v>548</v>
      </c>
      <c r="B158" s="404" t="s">
        <v>10</v>
      </c>
      <c r="C158" s="423">
        <f>ROUNDUP(C144/4,0)</f>
        <v>43</v>
      </c>
      <c r="D158" s="404">
        <v>850</v>
      </c>
      <c r="E158" s="404">
        <v>1200</v>
      </c>
      <c r="F158" s="423">
        <f t="shared" si="26"/>
        <v>51600</v>
      </c>
      <c r="G158" s="360" t="s">
        <v>549</v>
      </c>
      <c r="H158" s="366">
        <f t="shared" si="27"/>
        <v>36550</v>
      </c>
      <c r="I158" s="367">
        <f t="shared" si="17"/>
        <v>41.176470588235304</v>
      </c>
      <c r="J158" s="366">
        <f t="shared" si="25"/>
        <v>54180</v>
      </c>
    </row>
    <row r="159" spans="1:10" x14ac:dyDescent="0.25">
      <c r="A159" s="406" t="s">
        <v>449</v>
      </c>
      <c r="B159" s="404" t="s">
        <v>206</v>
      </c>
      <c r="C159" s="442">
        <v>0.52</v>
      </c>
      <c r="D159" s="404">
        <v>20500</v>
      </c>
      <c r="E159" s="404">
        <v>23500</v>
      </c>
      <c r="F159" s="423">
        <f t="shared" si="26"/>
        <v>12220</v>
      </c>
      <c r="H159" s="366">
        <f t="shared" si="27"/>
        <v>10660</v>
      </c>
      <c r="I159" s="367">
        <f t="shared" si="17"/>
        <v>14.634146341463406</v>
      </c>
      <c r="J159" s="366">
        <f t="shared" si="25"/>
        <v>12831</v>
      </c>
    </row>
    <row r="160" spans="1:10" x14ac:dyDescent="0.25">
      <c r="A160" s="406" t="s">
        <v>450</v>
      </c>
      <c r="B160" s="404" t="s">
        <v>206</v>
      </c>
      <c r="C160" s="442">
        <v>0.18</v>
      </c>
      <c r="D160" s="404">
        <v>20500</v>
      </c>
      <c r="E160" s="404">
        <v>23500</v>
      </c>
      <c r="F160" s="423">
        <f t="shared" si="26"/>
        <v>4230</v>
      </c>
      <c r="H160" s="366">
        <f t="shared" si="27"/>
        <v>3690</v>
      </c>
      <c r="I160" s="367">
        <f t="shared" si="17"/>
        <v>14.634146341463406</v>
      </c>
      <c r="J160" s="366">
        <f t="shared" si="25"/>
        <v>4441.5</v>
      </c>
    </row>
    <row r="161" spans="1:10" x14ac:dyDescent="0.25">
      <c r="A161" s="406" t="s">
        <v>611</v>
      </c>
      <c r="B161" s="418" t="s">
        <v>23</v>
      </c>
      <c r="C161" s="412">
        <f>C147*1.1</f>
        <v>0</v>
      </c>
      <c r="D161" s="397">
        <v>550</v>
      </c>
      <c r="E161" s="397">
        <v>670</v>
      </c>
      <c r="F161" s="398">
        <f>C161*E161</f>
        <v>0</v>
      </c>
      <c r="G161" s="369"/>
      <c r="H161" s="366">
        <f>C161*D161</f>
        <v>0</v>
      </c>
      <c r="I161" s="367" t="e">
        <f>F161/H161*100-100</f>
        <v>#DIV/0!</v>
      </c>
      <c r="J161" s="366">
        <f>F161*1.05</f>
        <v>0</v>
      </c>
    </row>
    <row r="162" spans="1:10" x14ac:dyDescent="0.25">
      <c r="A162" s="406" t="s">
        <v>612</v>
      </c>
      <c r="B162" s="418" t="s">
        <v>10</v>
      </c>
      <c r="C162" s="412">
        <f>ROUNDUP(C161/6/2.7,0)</f>
        <v>0</v>
      </c>
      <c r="D162" s="397">
        <v>1500</v>
      </c>
      <c r="E162" s="397">
        <v>1700</v>
      </c>
      <c r="F162" s="398">
        <f>C162*E162</f>
        <v>0</v>
      </c>
      <c r="G162" s="369"/>
      <c r="H162" s="366">
        <f>C162*D162</f>
        <v>0</v>
      </c>
      <c r="I162" s="367" t="e">
        <f>F162/H162*100-100</f>
        <v>#DIV/0!</v>
      </c>
      <c r="J162" s="366">
        <f>F162*1.05</f>
        <v>0</v>
      </c>
    </row>
    <row r="163" spans="1:10" x14ac:dyDescent="0.25">
      <c r="A163" s="406" t="s">
        <v>613</v>
      </c>
      <c r="B163" s="404" t="s">
        <v>34</v>
      </c>
      <c r="C163" s="447">
        <f>C149</f>
        <v>0</v>
      </c>
      <c r="D163" s="404">
        <v>4400</v>
      </c>
      <c r="E163" s="404">
        <v>5400</v>
      </c>
      <c r="F163" s="423">
        <f>C163*E163</f>
        <v>0</v>
      </c>
      <c r="H163" s="366">
        <f>C163*D163</f>
        <v>0</v>
      </c>
      <c r="I163" s="367" t="e">
        <f>F163/H163*100-100</f>
        <v>#DIV/0!</v>
      </c>
      <c r="J163" s="366">
        <f>F163*1.05</f>
        <v>0</v>
      </c>
    </row>
    <row r="164" spans="1:10" x14ac:dyDescent="0.25">
      <c r="A164" s="406" t="s">
        <v>230</v>
      </c>
      <c r="B164" s="404" t="s">
        <v>479</v>
      </c>
      <c r="C164" s="439">
        <v>2</v>
      </c>
      <c r="D164" s="404">
        <v>3000</v>
      </c>
      <c r="E164" s="404">
        <v>6000</v>
      </c>
      <c r="F164" s="423">
        <f t="shared" si="26"/>
        <v>12000</v>
      </c>
      <c r="H164" s="366">
        <f t="shared" si="27"/>
        <v>6000</v>
      </c>
      <c r="I164" s="367">
        <f t="shared" si="17"/>
        <v>100</v>
      </c>
      <c r="J164" s="366">
        <f t="shared" si="25"/>
        <v>12600</v>
      </c>
    </row>
    <row r="165" spans="1:10" x14ac:dyDescent="0.25">
      <c r="A165" s="395" t="s">
        <v>588</v>
      </c>
      <c r="B165" s="397"/>
      <c r="C165" s="397"/>
      <c r="D165" s="397"/>
      <c r="E165" s="397"/>
      <c r="F165" s="401" t="e">
        <f>SUM(F153:F164)*0.11</f>
        <v>#REF!</v>
      </c>
      <c r="G165" s="401">
        <f>SUM(G153:G164)*0.11</f>
        <v>0</v>
      </c>
      <c r="H165" s="401" t="e">
        <f>SUM(H153:H164)*0.11</f>
        <v>#REF!</v>
      </c>
      <c r="I165" s="367" t="e">
        <f t="shared" si="17"/>
        <v>#REF!</v>
      </c>
      <c r="J165" s="368" t="e">
        <f t="shared" si="25"/>
        <v>#REF!</v>
      </c>
    </row>
    <row r="166" spans="1:10" x14ac:dyDescent="0.25">
      <c r="A166" s="616" t="s">
        <v>181</v>
      </c>
      <c r="B166" s="617"/>
      <c r="C166" s="617"/>
      <c r="D166" s="617"/>
      <c r="E166" s="618"/>
      <c r="F166" s="401" t="e">
        <f>SUM(F155:F165)</f>
        <v>#REF!</v>
      </c>
      <c r="G166" s="401"/>
      <c r="H166" s="401" t="e">
        <f>SUM(H155:H165)</f>
        <v>#REF!</v>
      </c>
      <c r="I166" s="367" t="e">
        <f t="shared" si="17"/>
        <v>#REF!</v>
      </c>
      <c r="J166" s="368" t="e">
        <f t="shared" si="25"/>
        <v>#REF!</v>
      </c>
    </row>
    <row r="167" spans="1:10" x14ac:dyDescent="0.25">
      <c r="A167" s="616" t="s">
        <v>522</v>
      </c>
      <c r="B167" s="617"/>
      <c r="C167" s="617"/>
      <c r="D167" s="617"/>
      <c r="E167" s="618"/>
      <c r="F167" s="401" t="e">
        <f>F153+F166</f>
        <v>#REF!</v>
      </c>
      <c r="G167" s="401"/>
      <c r="H167" s="401" t="e">
        <f>H153+H166</f>
        <v>#REF!</v>
      </c>
      <c r="I167" s="367" t="e">
        <f t="shared" si="17"/>
        <v>#REF!</v>
      </c>
      <c r="J167" s="368" t="e">
        <f t="shared" si="25"/>
        <v>#REF!</v>
      </c>
    </row>
    <row r="168" spans="1:10" hidden="1" x14ac:dyDescent="0.25">
      <c r="A168" s="632" t="s">
        <v>231</v>
      </c>
      <c r="B168" s="633"/>
      <c r="C168" s="633"/>
      <c r="D168" s="633"/>
      <c r="E168" s="633"/>
      <c r="F168" s="634"/>
      <c r="I168" s="367"/>
    </row>
    <row r="169" spans="1:10" hidden="1" x14ac:dyDescent="0.25">
      <c r="A169" s="395"/>
      <c r="B169" s="397"/>
      <c r="C169" s="397"/>
      <c r="D169" s="397"/>
      <c r="E169" s="397"/>
      <c r="F169" s="398"/>
      <c r="I169" s="367"/>
    </row>
    <row r="170" spans="1:10" hidden="1" x14ac:dyDescent="0.25">
      <c r="A170" s="395"/>
      <c r="B170" s="397"/>
      <c r="C170" s="397"/>
      <c r="D170" s="397"/>
      <c r="E170" s="397"/>
      <c r="F170" s="398"/>
      <c r="I170" s="367"/>
    </row>
    <row r="171" spans="1:10" hidden="1" x14ac:dyDescent="0.25"/>
    <row r="172" spans="1:10" hidden="1" x14ac:dyDescent="0.25"/>
    <row r="173" spans="1:10" hidden="1" x14ac:dyDescent="0.25">
      <c r="A173" s="395" t="s">
        <v>367</v>
      </c>
      <c r="B173" s="397" t="s">
        <v>508</v>
      </c>
      <c r="C173" s="419"/>
      <c r="D173" s="397">
        <v>6000</v>
      </c>
      <c r="E173" s="397">
        <v>7500</v>
      </c>
      <c r="F173" s="398">
        <f>C173*E173</f>
        <v>0</v>
      </c>
      <c r="H173" s="366">
        <f>C173*D173</f>
        <v>0</v>
      </c>
      <c r="I173" s="367" t="e">
        <f t="shared" si="17"/>
        <v>#DIV/0!</v>
      </c>
    </row>
    <row r="174" spans="1:10" hidden="1" x14ac:dyDescent="0.25">
      <c r="A174" s="395" t="s">
        <v>369</v>
      </c>
      <c r="B174" s="397" t="s">
        <v>237</v>
      </c>
      <c r="C174" s="397"/>
      <c r="D174" s="397">
        <v>10000</v>
      </c>
      <c r="E174" s="397">
        <f>D174*1.2</f>
        <v>12000</v>
      </c>
      <c r="F174" s="398">
        <f>C174*E174</f>
        <v>0</v>
      </c>
      <c r="H174" s="366">
        <f>C174*D174</f>
        <v>0</v>
      </c>
      <c r="I174" s="367" t="e">
        <f t="shared" ref="I174:I179" si="28">F174/H174*100-100</f>
        <v>#DIV/0!</v>
      </c>
    </row>
    <row r="175" spans="1:10" hidden="1" x14ac:dyDescent="0.25">
      <c r="A175" s="395" t="s">
        <v>370</v>
      </c>
      <c r="B175" s="397" t="s">
        <v>508</v>
      </c>
      <c r="C175" s="419"/>
      <c r="D175" s="397">
        <v>6000</v>
      </c>
      <c r="E175" s="397">
        <v>7500</v>
      </c>
      <c r="F175" s="398">
        <f>C175*E175</f>
        <v>0</v>
      </c>
      <c r="H175" s="366">
        <f>C175*D175</f>
        <v>0</v>
      </c>
      <c r="I175" s="367" t="e">
        <f t="shared" si="28"/>
        <v>#DIV/0!</v>
      </c>
    </row>
    <row r="176" spans="1:10" x14ac:dyDescent="0.25">
      <c r="A176" s="616" t="s">
        <v>509</v>
      </c>
      <c r="B176" s="617"/>
      <c r="C176" s="617"/>
      <c r="D176" s="617"/>
      <c r="E176" s="618"/>
      <c r="F176" s="401">
        <f>SUM(F169:F175)</f>
        <v>0</v>
      </c>
      <c r="G176" s="401"/>
      <c r="H176" s="401">
        <f>SUM(H169:H175)</f>
        <v>0</v>
      </c>
      <c r="I176" s="367" t="e">
        <f t="shared" si="28"/>
        <v>#DIV/0!</v>
      </c>
    </row>
    <row r="177" spans="1:9" x14ac:dyDescent="0.25">
      <c r="A177" s="616" t="s">
        <v>523</v>
      </c>
      <c r="B177" s="617"/>
      <c r="C177" s="617"/>
      <c r="D177" s="617"/>
      <c r="E177" s="618"/>
      <c r="F177" s="401" t="e">
        <f>F17+F52+F91+F125+F153</f>
        <v>#REF!</v>
      </c>
      <c r="G177" s="401"/>
      <c r="H177" s="401" t="e">
        <f>H17+H52+H91+H125+H153</f>
        <v>#REF!</v>
      </c>
      <c r="I177" s="367" t="e">
        <f t="shared" si="28"/>
        <v>#REF!</v>
      </c>
    </row>
    <row r="178" spans="1:9" x14ac:dyDescent="0.25">
      <c r="A178" s="616" t="s">
        <v>524</v>
      </c>
      <c r="B178" s="617"/>
      <c r="C178" s="617"/>
      <c r="D178" s="617"/>
      <c r="E178" s="618"/>
      <c r="F178" s="401" t="e">
        <f>F36+F74+F114+F138+F166</f>
        <v>#REF!</v>
      </c>
      <c r="G178" s="401"/>
      <c r="H178" s="401" t="e">
        <f>H36+H74+H114+H138+H166</f>
        <v>#REF!</v>
      </c>
      <c r="I178" s="367" t="e">
        <f t="shared" si="28"/>
        <v>#REF!</v>
      </c>
    </row>
    <row r="179" spans="1:9" x14ac:dyDescent="0.25">
      <c r="A179" s="616" t="s">
        <v>510</v>
      </c>
      <c r="B179" s="617"/>
      <c r="C179" s="617"/>
      <c r="D179" s="617"/>
      <c r="E179" s="618"/>
      <c r="F179" s="401" t="e">
        <f>F177+F178+F176</f>
        <v>#REF!</v>
      </c>
      <c r="G179" s="401"/>
      <c r="H179" s="401" t="e">
        <f>H177+H178+H176</f>
        <v>#REF!</v>
      </c>
      <c r="I179" s="367" t="e">
        <f t="shared" si="28"/>
        <v>#REF!</v>
      </c>
    </row>
    <row r="180" spans="1:9" x14ac:dyDescent="0.25">
      <c r="I180" s="367"/>
    </row>
    <row r="181" spans="1:9" hidden="1" x14ac:dyDescent="0.25">
      <c r="A181" s="360"/>
      <c r="D181" s="427" t="s">
        <v>525</v>
      </c>
      <c r="I181" s="360" t="s">
        <v>527</v>
      </c>
    </row>
    <row r="182" spans="1:9" hidden="1" x14ac:dyDescent="0.25">
      <c r="A182" s="429" t="s">
        <v>570</v>
      </c>
      <c r="H182" s="430">
        <v>104</v>
      </c>
      <c r="I182" s="372" t="s">
        <v>528</v>
      </c>
    </row>
    <row r="183" spans="1:9" ht="26.4" hidden="1" x14ac:dyDescent="0.25">
      <c r="A183" s="429" t="s">
        <v>571</v>
      </c>
      <c r="H183" s="430">
        <v>104</v>
      </c>
      <c r="I183" s="373" t="s">
        <v>529</v>
      </c>
    </row>
    <row r="184" spans="1:9" hidden="1" x14ac:dyDescent="0.25">
      <c r="A184" s="429" t="s">
        <v>572</v>
      </c>
      <c r="H184" s="374">
        <v>17</v>
      </c>
      <c r="I184" s="373"/>
    </row>
    <row r="185" spans="1:9" hidden="1" x14ac:dyDescent="0.25">
      <c r="A185" s="429" t="s">
        <v>573</v>
      </c>
      <c r="H185" s="374">
        <v>22</v>
      </c>
      <c r="I185" s="373"/>
    </row>
    <row r="186" spans="1:9" ht="26.4" hidden="1" x14ac:dyDescent="0.25">
      <c r="A186" s="429" t="s">
        <v>574</v>
      </c>
      <c r="H186" s="374">
        <v>17</v>
      </c>
      <c r="I186" s="373"/>
    </row>
    <row r="187" spans="1:9" ht="26.4" hidden="1" x14ac:dyDescent="0.25">
      <c r="A187" s="429" t="s">
        <v>575</v>
      </c>
      <c r="H187" s="374" t="s">
        <v>530</v>
      </c>
      <c r="I187" s="373" t="s">
        <v>531</v>
      </c>
    </row>
    <row r="188" spans="1:9" ht="26.4" hidden="1" x14ac:dyDescent="0.25">
      <c r="A188" s="429" t="s">
        <v>576</v>
      </c>
      <c r="H188" s="375" t="s">
        <v>532</v>
      </c>
      <c r="I188" s="373" t="s">
        <v>533</v>
      </c>
    </row>
    <row r="189" spans="1:9" hidden="1" x14ac:dyDescent="0.25">
      <c r="A189" s="431" t="s">
        <v>577</v>
      </c>
      <c r="H189" s="374"/>
      <c r="I189" s="373"/>
    </row>
    <row r="190" spans="1:9" ht="26.4" hidden="1" x14ac:dyDescent="0.25">
      <c r="A190" s="431" t="s">
        <v>578</v>
      </c>
      <c r="H190" s="374" t="s">
        <v>534</v>
      </c>
      <c r="I190" s="376" t="s">
        <v>535</v>
      </c>
    </row>
    <row r="191" spans="1:9" ht="26.4" hidden="1" x14ac:dyDescent="0.25">
      <c r="A191" s="431" t="s">
        <v>579</v>
      </c>
      <c r="H191" s="374">
        <v>138</v>
      </c>
      <c r="I191" s="373" t="s">
        <v>536</v>
      </c>
    </row>
    <row r="192" spans="1:9" ht="26.4" hidden="1" x14ac:dyDescent="0.25">
      <c r="A192" s="431" t="s">
        <v>580</v>
      </c>
      <c r="B192" s="432"/>
      <c r="C192" s="432"/>
      <c r="D192" s="432"/>
      <c r="E192" s="432"/>
      <c r="F192" s="433"/>
      <c r="G192" s="365"/>
      <c r="H192" s="366">
        <v>86</v>
      </c>
    </row>
    <row r="193" spans="1:9" hidden="1" x14ac:dyDescent="0.25">
      <c r="A193" s="431" t="s">
        <v>581</v>
      </c>
      <c r="H193" s="366">
        <v>105</v>
      </c>
      <c r="I193" s="360">
        <v>600</v>
      </c>
    </row>
    <row r="194" spans="1:9" hidden="1" x14ac:dyDescent="0.25"/>
    <row r="195" spans="1:9" hidden="1" x14ac:dyDescent="0.25"/>
    <row r="196" spans="1:9" hidden="1" x14ac:dyDescent="0.25"/>
    <row r="197" spans="1:9" hidden="1" x14ac:dyDescent="0.25"/>
  </sheetData>
  <mergeCells count="28">
    <mergeCell ref="A179:E179"/>
    <mergeCell ref="A141:F141"/>
    <mergeCell ref="A138:E138"/>
    <mergeCell ref="A117:F117"/>
    <mergeCell ref="A18:F18"/>
    <mergeCell ref="A75:E75"/>
    <mergeCell ref="A92:F92"/>
    <mergeCell ref="A36:E36"/>
    <mergeCell ref="A37:E37"/>
    <mergeCell ref="A53:F53"/>
    <mergeCell ref="G6:I6"/>
    <mergeCell ref="A126:F126"/>
    <mergeCell ref="A178:E178"/>
    <mergeCell ref="A140:F140"/>
    <mergeCell ref="A177:E177"/>
    <mergeCell ref="A139:E139"/>
    <mergeCell ref="A167:E167"/>
    <mergeCell ref="A154:F154"/>
    <mergeCell ref="A176:E176"/>
    <mergeCell ref="A168:F168"/>
    <mergeCell ref="A166:E166"/>
    <mergeCell ref="A1:F2"/>
    <mergeCell ref="A115:E115"/>
    <mergeCell ref="A74:E74"/>
    <mergeCell ref="A116:F116"/>
    <mergeCell ref="A77:F77"/>
    <mergeCell ref="A114:E114"/>
    <mergeCell ref="A76:F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Q334"/>
  <sheetViews>
    <sheetView tabSelected="1" zoomScale="85" zoomScaleNormal="85" workbookViewId="0">
      <pane ySplit="11" topLeftCell="A12" activePane="bottomLeft" state="frozen"/>
      <selection pane="bottomLeft" activeCell="M24" sqref="M24"/>
    </sheetView>
  </sheetViews>
  <sheetFormatPr defaultColWidth="8.88671875" defaultRowHeight="13.2" x14ac:dyDescent="0.25"/>
  <cols>
    <col min="1" max="1" width="0.77734375" style="455" customWidth="1"/>
    <col min="2" max="2" width="4.33203125" style="519" customWidth="1"/>
    <col min="3" max="3" width="60.109375" style="513" customWidth="1"/>
    <col min="4" max="4" width="6.44140625" style="514" customWidth="1"/>
    <col min="5" max="5" width="9.5546875" style="514" customWidth="1"/>
    <col min="6" max="6" width="8.33203125" style="453" customWidth="1"/>
    <col min="7" max="7" width="11.44140625" style="453" customWidth="1"/>
    <col min="8" max="8" width="8.44140625" style="453" customWidth="1"/>
    <col min="9" max="9" width="10.6640625" style="453" customWidth="1"/>
    <col min="10" max="10" width="10.109375" style="453" customWidth="1"/>
    <col min="11" max="11" width="12.88671875" style="454" hidden="1" customWidth="1"/>
    <col min="12" max="12" width="10.88671875" style="454" customWidth="1"/>
    <col min="13" max="13" width="9.109375" style="454" customWidth="1"/>
    <col min="14" max="14" width="10.6640625" style="454" customWidth="1"/>
    <col min="15" max="251" width="9.109375" style="454" customWidth="1"/>
    <col min="252" max="257" width="9.109375" style="455" customWidth="1"/>
    <col min="258" max="16384" width="8.88671875" style="455"/>
  </cols>
  <sheetData>
    <row r="1" spans="2:11" x14ac:dyDescent="0.25">
      <c r="B1" s="654" t="s">
        <v>775</v>
      </c>
      <c r="C1" s="654"/>
      <c r="D1" s="645">
        <f>D3+D4+D5+D6+D7+D8+D9+D2</f>
        <v>5665093.861159238</v>
      </c>
      <c r="E1" s="645"/>
    </row>
    <row r="2" spans="2:11" x14ac:dyDescent="0.25">
      <c r="B2" s="639" t="s">
        <v>781</v>
      </c>
      <c r="C2" s="639"/>
      <c r="D2" s="645">
        <f>J64</f>
        <v>852562.37613599992</v>
      </c>
      <c r="E2" s="645"/>
    </row>
    <row r="3" spans="2:11" x14ac:dyDescent="0.25">
      <c r="B3" s="639" t="s">
        <v>652</v>
      </c>
      <c r="C3" s="639"/>
      <c r="D3" s="645">
        <f>J111</f>
        <v>605218.78993679991</v>
      </c>
      <c r="E3" s="645"/>
    </row>
    <row r="4" spans="2:11" x14ac:dyDescent="0.25">
      <c r="B4" s="639" t="s">
        <v>653</v>
      </c>
      <c r="C4" s="639"/>
      <c r="D4" s="645">
        <f>J140</f>
        <v>408736.86897374998</v>
      </c>
      <c r="E4" s="645"/>
    </row>
    <row r="5" spans="2:11" x14ac:dyDescent="0.25">
      <c r="B5" s="639" t="s">
        <v>654</v>
      </c>
      <c r="C5" s="639"/>
      <c r="D5" s="645">
        <f>J178</f>
        <v>387355.2350625</v>
      </c>
      <c r="E5" s="645"/>
    </row>
    <row r="6" spans="2:11" x14ac:dyDescent="0.25">
      <c r="B6" s="639" t="s">
        <v>640</v>
      </c>
      <c r="C6" s="639"/>
      <c r="D6" s="645">
        <f>J226</f>
        <v>1192719.1690740001</v>
      </c>
      <c r="E6" s="645"/>
    </row>
    <row r="7" spans="2:11" x14ac:dyDescent="0.25">
      <c r="B7" s="456" t="s">
        <v>641</v>
      </c>
      <c r="C7" s="457"/>
      <c r="D7" s="645">
        <f>J244</f>
        <v>519169.98538500001</v>
      </c>
      <c r="E7" s="645"/>
    </row>
    <row r="8" spans="2:11" x14ac:dyDescent="0.25">
      <c r="B8" s="639" t="s">
        <v>648</v>
      </c>
      <c r="C8" s="639"/>
      <c r="D8" s="645">
        <f>J276</f>
        <v>639962.65976537997</v>
      </c>
      <c r="E8" s="645"/>
    </row>
    <row r="9" spans="2:11" x14ac:dyDescent="0.25">
      <c r="B9" s="639" t="s">
        <v>642</v>
      </c>
      <c r="C9" s="639"/>
      <c r="D9" s="645">
        <f>J311</f>
        <v>1059368.7768258071</v>
      </c>
      <c r="E9" s="645"/>
    </row>
    <row r="10" spans="2:11" x14ac:dyDescent="0.25">
      <c r="B10" s="648" t="s">
        <v>650</v>
      </c>
      <c r="C10" s="643" t="s">
        <v>0</v>
      </c>
      <c r="D10" s="643" t="s">
        <v>22</v>
      </c>
      <c r="E10" s="649" t="s">
        <v>184</v>
      </c>
      <c r="F10" s="644" t="s">
        <v>649</v>
      </c>
      <c r="G10" s="644"/>
      <c r="H10" s="642" t="s">
        <v>215</v>
      </c>
      <c r="I10" s="642"/>
      <c r="J10" s="642" t="s">
        <v>777</v>
      </c>
      <c r="K10" s="642" t="s">
        <v>182</v>
      </c>
    </row>
    <row r="11" spans="2:11" x14ac:dyDescent="0.25">
      <c r="B11" s="648"/>
      <c r="C11" s="643"/>
      <c r="D11" s="643"/>
      <c r="E11" s="649"/>
      <c r="F11" s="458" t="s">
        <v>476</v>
      </c>
      <c r="G11" s="458" t="s">
        <v>776</v>
      </c>
      <c r="H11" s="458" t="s">
        <v>476</v>
      </c>
      <c r="I11" s="458" t="s">
        <v>776</v>
      </c>
      <c r="J11" s="642"/>
      <c r="K11" s="642"/>
    </row>
    <row r="12" spans="2:11" x14ac:dyDescent="0.25">
      <c r="B12" s="653" t="s">
        <v>781</v>
      </c>
      <c r="C12" s="653"/>
      <c r="D12" s="653"/>
      <c r="E12" s="653"/>
      <c r="F12" s="653"/>
      <c r="G12" s="653"/>
      <c r="H12" s="653"/>
      <c r="I12" s="653"/>
      <c r="J12" s="653"/>
      <c r="K12" s="459"/>
    </row>
    <row r="13" spans="2:11" x14ac:dyDescent="0.25">
      <c r="B13" s="460"/>
      <c r="C13" s="461" t="s">
        <v>782</v>
      </c>
      <c r="D13" s="462"/>
      <c r="E13" s="463"/>
      <c r="F13" s="464"/>
      <c r="G13" s="464"/>
      <c r="H13" s="464"/>
      <c r="I13" s="464"/>
      <c r="J13" s="464"/>
      <c r="K13" s="465"/>
    </row>
    <row r="14" spans="2:11" x14ac:dyDescent="0.25">
      <c r="B14" s="460">
        <v>1</v>
      </c>
      <c r="C14" s="466" t="s">
        <v>783</v>
      </c>
      <c r="D14" s="467" t="s">
        <v>23</v>
      </c>
      <c r="E14" s="468">
        <v>94</v>
      </c>
      <c r="F14" s="464">
        <v>50</v>
      </c>
      <c r="G14" s="464">
        <f>F14*E14</f>
        <v>4700</v>
      </c>
      <c r="H14" s="464"/>
      <c r="I14" s="464">
        <f>E14*H14</f>
        <v>0</v>
      </c>
      <c r="J14" s="464">
        <f>G14+I14</f>
        <v>4700</v>
      </c>
      <c r="K14" s="465"/>
    </row>
    <row r="15" spans="2:11" x14ac:dyDescent="0.25">
      <c r="B15" s="460">
        <f>B14+1</f>
        <v>2</v>
      </c>
      <c r="C15" s="469" t="s">
        <v>784</v>
      </c>
      <c r="D15" s="462" t="s">
        <v>25</v>
      </c>
      <c r="E15" s="463">
        <f>ROUNDUP(E14*0.55,0)</f>
        <v>52</v>
      </c>
      <c r="F15" s="464">
        <v>150</v>
      </c>
      <c r="G15" s="464">
        <f t="shared" ref="G15:G58" si="0">F15*E15</f>
        <v>7800</v>
      </c>
      <c r="H15" s="464"/>
      <c r="I15" s="464">
        <f t="shared" ref="I15:I58" si="1">E15*H15</f>
        <v>0</v>
      </c>
      <c r="J15" s="464">
        <f t="shared" ref="J15:J27" si="2">G15+I15</f>
        <v>7800</v>
      </c>
      <c r="K15" s="465"/>
    </row>
    <row r="16" spans="2:11" x14ac:dyDescent="0.25">
      <c r="B16" s="460"/>
      <c r="C16" s="470" t="s">
        <v>232</v>
      </c>
      <c r="D16" s="471" t="s">
        <v>496</v>
      </c>
      <c r="E16" s="472">
        <v>1</v>
      </c>
      <c r="F16" s="464"/>
      <c r="G16" s="464">
        <f t="shared" si="0"/>
        <v>0</v>
      </c>
      <c r="H16" s="464">
        <v>18000</v>
      </c>
      <c r="I16" s="464">
        <f t="shared" si="1"/>
        <v>18000</v>
      </c>
      <c r="J16" s="464">
        <f t="shared" si="2"/>
        <v>18000</v>
      </c>
      <c r="K16" s="465"/>
    </row>
    <row r="17" spans="2:13" x14ac:dyDescent="0.25">
      <c r="B17" s="460">
        <f>B15+1</f>
        <v>3</v>
      </c>
      <c r="C17" s="469" t="s">
        <v>785</v>
      </c>
      <c r="D17" s="471" t="s">
        <v>25</v>
      </c>
      <c r="E17" s="473">
        <f>ROUNDUP(E15*0.05,0)</f>
        <v>3</v>
      </c>
      <c r="F17" s="464">
        <v>1000</v>
      </c>
      <c r="G17" s="464">
        <f t="shared" si="0"/>
        <v>3000</v>
      </c>
      <c r="H17" s="464"/>
      <c r="I17" s="464">
        <f t="shared" si="1"/>
        <v>0</v>
      </c>
      <c r="J17" s="464">
        <f t="shared" si="2"/>
        <v>3000</v>
      </c>
      <c r="K17" s="465"/>
    </row>
    <row r="18" spans="2:13" x14ac:dyDescent="0.25">
      <c r="B18" s="460">
        <f>B17+1</f>
        <v>4</v>
      </c>
      <c r="C18" s="469" t="s">
        <v>786</v>
      </c>
      <c r="D18" s="471" t="s">
        <v>23</v>
      </c>
      <c r="E18" s="462">
        <f>94+40</f>
        <v>134</v>
      </c>
      <c r="F18" s="464">
        <v>40</v>
      </c>
      <c r="G18" s="464">
        <f t="shared" si="0"/>
        <v>5360</v>
      </c>
      <c r="H18" s="464"/>
      <c r="I18" s="464">
        <f t="shared" si="1"/>
        <v>0</v>
      </c>
      <c r="J18" s="464">
        <f t="shared" si="2"/>
        <v>5360</v>
      </c>
      <c r="K18" s="465"/>
    </row>
    <row r="19" spans="2:13" x14ac:dyDescent="0.25">
      <c r="B19" s="460"/>
      <c r="C19" s="470" t="s">
        <v>787</v>
      </c>
      <c r="D19" s="471" t="s">
        <v>217</v>
      </c>
      <c r="E19" s="462">
        <f>ROUNDUP(E18*1.2/50,0)</f>
        <v>4</v>
      </c>
      <c r="F19" s="464"/>
      <c r="G19" s="464">
        <f t="shared" si="0"/>
        <v>0</v>
      </c>
      <c r="H19" s="464">
        <v>4365</v>
      </c>
      <c r="I19" s="464">
        <f t="shared" si="1"/>
        <v>17460</v>
      </c>
      <c r="J19" s="464">
        <f t="shared" si="2"/>
        <v>17460</v>
      </c>
      <c r="K19" s="465"/>
    </row>
    <row r="20" spans="2:13" x14ac:dyDescent="0.25">
      <c r="B20" s="460">
        <f>B18+1</f>
        <v>5</v>
      </c>
      <c r="C20" s="469" t="s">
        <v>788</v>
      </c>
      <c r="D20" s="462" t="s">
        <v>25</v>
      </c>
      <c r="E20" s="474">
        <f>ROUNDUP(E14*0.1*1.2,0)</f>
        <v>12</v>
      </c>
      <c r="F20" s="464">
        <v>1000</v>
      </c>
      <c r="G20" s="464">
        <f t="shared" si="0"/>
        <v>12000</v>
      </c>
      <c r="H20" s="464"/>
      <c r="I20" s="464">
        <f t="shared" si="1"/>
        <v>0</v>
      </c>
      <c r="J20" s="464">
        <f t="shared" si="2"/>
        <v>12000</v>
      </c>
      <c r="K20" s="475"/>
      <c r="M20" s="476"/>
    </row>
    <row r="21" spans="2:13" x14ac:dyDescent="0.25">
      <c r="B21" s="460"/>
      <c r="C21" s="470" t="s">
        <v>817</v>
      </c>
      <c r="D21" s="462" t="s">
        <v>237</v>
      </c>
      <c r="E21" s="477">
        <v>1</v>
      </c>
      <c r="F21" s="464"/>
      <c r="G21" s="464">
        <f t="shared" si="0"/>
        <v>0</v>
      </c>
      <c r="H21" s="464">
        <v>35000</v>
      </c>
      <c r="I21" s="464">
        <f t="shared" si="1"/>
        <v>35000</v>
      </c>
      <c r="J21" s="464">
        <f t="shared" si="2"/>
        <v>35000</v>
      </c>
      <c r="K21" s="465"/>
      <c r="M21" s="478"/>
    </row>
    <row r="22" spans="2:13" ht="26.4" x14ac:dyDescent="0.25">
      <c r="B22" s="460">
        <f>B20+1</f>
        <v>6</v>
      </c>
      <c r="C22" s="469" t="s">
        <v>789</v>
      </c>
      <c r="D22" s="462" t="s">
        <v>25</v>
      </c>
      <c r="E22" s="477">
        <f>ROUNDUP((E14*0.4)*1.35,0)</f>
        <v>51</v>
      </c>
      <c r="F22" s="464">
        <v>400</v>
      </c>
      <c r="G22" s="464">
        <f t="shared" si="0"/>
        <v>20400</v>
      </c>
      <c r="H22" s="464"/>
      <c r="I22" s="464">
        <f t="shared" si="1"/>
        <v>0</v>
      </c>
      <c r="J22" s="464">
        <f t="shared" si="2"/>
        <v>20400</v>
      </c>
      <c r="K22" s="465"/>
      <c r="M22" s="478"/>
    </row>
    <row r="23" spans="2:13" x14ac:dyDescent="0.25">
      <c r="B23" s="460"/>
      <c r="C23" s="470" t="s">
        <v>232</v>
      </c>
      <c r="D23" s="462" t="s">
        <v>496</v>
      </c>
      <c r="E23" s="477">
        <v>1</v>
      </c>
      <c r="F23" s="464"/>
      <c r="G23" s="464">
        <f t="shared" si="0"/>
        <v>0</v>
      </c>
      <c r="H23" s="479">
        <v>18000</v>
      </c>
      <c r="I23" s="464">
        <f t="shared" si="1"/>
        <v>18000</v>
      </c>
      <c r="J23" s="464">
        <f t="shared" si="2"/>
        <v>18000</v>
      </c>
      <c r="K23" s="465"/>
    </row>
    <row r="24" spans="2:13" x14ac:dyDescent="0.25">
      <c r="B24" s="460"/>
      <c r="C24" s="470" t="s">
        <v>790</v>
      </c>
      <c r="D24" s="471" t="s">
        <v>240</v>
      </c>
      <c r="E24" s="474">
        <v>2</v>
      </c>
      <c r="F24" s="464"/>
      <c r="G24" s="464">
        <f t="shared" si="0"/>
        <v>0</v>
      </c>
      <c r="H24" s="479">
        <v>2500</v>
      </c>
      <c r="I24" s="464">
        <f t="shared" si="1"/>
        <v>5000</v>
      </c>
      <c r="J24" s="464">
        <f t="shared" si="2"/>
        <v>5000</v>
      </c>
      <c r="K24" s="475"/>
    </row>
    <row r="25" spans="2:13" x14ac:dyDescent="0.25">
      <c r="B25" s="460"/>
      <c r="C25" s="470" t="s">
        <v>818</v>
      </c>
      <c r="D25" s="471" t="s">
        <v>237</v>
      </c>
      <c r="E25" s="474">
        <v>3</v>
      </c>
      <c r="F25" s="464"/>
      <c r="G25" s="464">
        <f t="shared" si="0"/>
        <v>0</v>
      </c>
      <c r="H25" s="464">
        <v>15000</v>
      </c>
      <c r="I25" s="464">
        <f t="shared" si="1"/>
        <v>45000</v>
      </c>
      <c r="J25" s="464">
        <f t="shared" si="2"/>
        <v>45000</v>
      </c>
      <c r="K25" s="465"/>
    </row>
    <row r="26" spans="2:13" x14ac:dyDescent="0.25">
      <c r="B26" s="460">
        <f>B22+1</f>
        <v>7</v>
      </c>
      <c r="C26" s="469" t="s">
        <v>791</v>
      </c>
      <c r="D26" s="471" t="s">
        <v>23</v>
      </c>
      <c r="E26" s="474">
        <f>E14</f>
        <v>94</v>
      </c>
      <c r="F26" s="464">
        <v>40</v>
      </c>
      <c r="G26" s="464">
        <f t="shared" si="0"/>
        <v>3760</v>
      </c>
      <c r="H26" s="464"/>
      <c r="I26" s="464">
        <f t="shared" si="1"/>
        <v>0</v>
      </c>
      <c r="J26" s="464">
        <f t="shared" si="2"/>
        <v>3760</v>
      </c>
      <c r="K26" s="465"/>
    </row>
    <row r="27" spans="2:13" x14ac:dyDescent="0.25">
      <c r="B27" s="460"/>
      <c r="C27" s="470" t="s">
        <v>787</v>
      </c>
      <c r="D27" s="471" t="s">
        <v>217</v>
      </c>
      <c r="E27" s="474">
        <f>ROUNDUP(E26*1.2/50,)</f>
        <v>3</v>
      </c>
      <c r="F27" s="464"/>
      <c r="G27" s="464">
        <f t="shared" si="0"/>
        <v>0</v>
      </c>
      <c r="H27" s="464">
        <v>4365</v>
      </c>
      <c r="I27" s="464">
        <f t="shared" si="1"/>
        <v>13095</v>
      </c>
      <c r="J27" s="464">
        <f t="shared" si="2"/>
        <v>13095</v>
      </c>
      <c r="K27" s="465"/>
    </row>
    <row r="28" spans="2:13" ht="26.4" x14ac:dyDescent="0.25">
      <c r="B28" s="460">
        <f>B26+1</f>
        <v>8</v>
      </c>
      <c r="C28" s="469" t="s">
        <v>825</v>
      </c>
      <c r="D28" s="471" t="s">
        <v>23</v>
      </c>
      <c r="E28" s="474">
        <v>58</v>
      </c>
      <c r="F28" s="464">
        <v>100</v>
      </c>
      <c r="G28" s="464">
        <f t="shared" si="0"/>
        <v>5800</v>
      </c>
      <c r="H28" s="464">
        <v>30</v>
      </c>
      <c r="I28" s="464">
        <f t="shared" si="1"/>
        <v>1740</v>
      </c>
      <c r="J28" s="464">
        <f>G28+I28</f>
        <v>7540</v>
      </c>
      <c r="K28" s="465"/>
    </row>
    <row r="29" spans="2:13" x14ac:dyDescent="0.25">
      <c r="B29" s="460"/>
      <c r="C29" s="470" t="s">
        <v>802</v>
      </c>
      <c r="D29" s="471" t="s">
        <v>700</v>
      </c>
      <c r="E29" s="474">
        <f>ROUNDUP(E28*1.1/0.68,0)</f>
        <v>94</v>
      </c>
      <c r="F29" s="464"/>
      <c r="G29" s="464">
        <f t="shared" si="0"/>
        <v>0</v>
      </c>
      <c r="H29" s="464">
        <v>468</v>
      </c>
      <c r="I29" s="464">
        <f t="shared" si="1"/>
        <v>43992</v>
      </c>
      <c r="J29" s="464">
        <f>G29+I29</f>
        <v>43992</v>
      </c>
      <c r="K29" s="465"/>
    </row>
    <row r="30" spans="2:13" x14ac:dyDescent="0.25">
      <c r="B30" s="460">
        <f>B28+1</f>
        <v>9</v>
      </c>
      <c r="C30" s="469" t="s">
        <v>793</v>
      </c>
      <c r="D30" s="471" t="s">
        <v>23</v>
      </c>
      <c r="E30" s="474">
        <f>E29</f>
        <v>94</v>
      </c>
      <c r="F30" s="464">
        <v>40</v>
      </c>
      <c r="G30" s="464">
        <f t="shared" si="0"/>
        <v>3760</v>
      </c>
      <c r="H30" s="464"/>
      <c r="I30" s="464">
        <f t="shared" si="1"/>
        <v>0</v>
      </c>
      <c r="J30" s="464">
        <f>G30+I30</f>
        <v>3760</v>
      </c>
      <c r="K30" s="465"/>
    </row>
    <row r="31" spans="2:13" x14ac:dyDescent="0.25">
      <c r="B31" s="460"/>
      <c r="C31" s="470" t="s">
        <v>794</v>
      </c>
      <c r="D31" s="462" t="s">
        <v>217</v>
      </c>
      <c r="E31" s="463">
        <f>ROUNDUP(E28/50,0)</f>
        <v>2</v>
      </c>
      <c r="F31" s="464"/>
      <c r="G31" s="464">
        <f t="shared" si="0"/>
        <v>0</v>
      </c>
      <c r="H31" s="464">
        <v>1660</v>
      </c>
      <c r="I31" s="464">
        <f t="shared" si="1"/>
        <v>3320</v>
      </c>
      <c r="J31" s="464">
        <f>G31+I31</f>
        <v>3320</v>
      </c>
      <c r="K31" s="465"/>
    </row>
    <row r="32" spans="2:13" ht="26.4" x14ac:dyDescent="0.25">
      <c r="B32" s="460">
        <f>B30+1</f>
        <v>10</v>
      </c>
      <c r="C32" s="466" t="s">
        <v>795</v>
      </c>
      <c r="D32" s="467" t="s">
        <v>23</v>
      </c>
      <c r="E32" s="468">
        <v>36</v>
      </c>
      <c r="F32" s="464">
        <v>100</v>
      </c>
      <c r="G32" s="464">
        <f t="shared" si="0"/>
        <v>3600</v>
      </c>
      <c r="H32" s="464">
        <v>50</v>
      </c>
      <c r="I32" s="464">
        <f t="shared" si="1"/>
        <v>1800</v>
      </c>
      <c r="J32" s="464">
        <f t="shared" ref="J32:J33" si="3">G32+I32</f>
        <v>5400</v>
      </c>
      <c r="K32" s="465"/>
    </row>
    <row r="33" spans="2:13" x14ac:dyDescent="0.25">
      <c r="B33" s="460"/>
      <c r="C33" s="470" t="s">
        <v>792</v>
      </c>
      <c r="D33" s="462" t="s">
        <v>700</v>
      </c>
      <c r="E33" s="463">
        <f>ROUNDUP(E32*1.05/0.68,0)</f>
        <v>56</v>
      </c>
      <c r="F33" s="464"/>
      <c r="G33" s="464">
        <f t="shared" si="0"/>
        <v>0</v>
      </c>
      <c r="H33" s="464">
        <v>236</v>
      </c>
      <c r="I33" s="464">
        <f t="shared" si="1"/>
        <v>13216</v>
      </c>
      <c r="J33" s="464">
        <f t="shared" si="3"/>
        <v>13216</v>
      </c>
      <c r="K33" s="465"/>
    </row>
    <row r="34" spans="2:13" x14ac:dyDescent="0.25">
      <c r="B34" s="460"/>
      <c r="C34" s="461" t="s">
        <v>811</v>
      </c>
      <c r="D34" s="471"/>
      <c r="E34" s="472"/>
      <c r="F34" s="464"/>
      <c r="G34" s="464"/>
      <c r="H34" s="464"/>
      <c r="I34" s="464"/>
      <c r="J34" s="464"/>
      <c r="K34" s="465"/>
    </row>
    <row r="35" spans="2:13" x14ac:dyDescent="0.25">
      <c r="B35" s="460">
        <f>B32+1</f>
        <v>11</v>
      </c>
      <c r="C35" s="469" t="s">
        <v>796</v>
      </c>
      <c r="D35" s="471" t="s">
        <v>34</v>
      </c>
      <c r="E35" s="473">
        <v>38</v>
      </c>
      <c r="F35" s="464">
        <v>400</v>
      </c>
      <c r="G35" s="464">
        <f t="shared" si="0"/>
        <v>15200</v>
      </c>
      <c r="H35" s="464">
        <v>20</v>
      </c>
      <c r="I35" s="464">
        <f t="shared" si="1"/>
        <v>760</v>
      </c>
      <c r="J35" s="464">
        <f t="shared" ref="J35:J58" si="4">G35+I35</f>
        <v>15960</v>
      </c>
      <c r="K35" s="465"/>
    </row>
    <row r="36" spans="2:13" x14ac:dyDescent="0.25">
      <c r="B36" s="460"/>
      <c r="C36" s="470" t="s">
        <v>797</v>
      </c>
      <c r="D36" s="471" t="s">
        <v>25</v>
      </c>
      <c r="E36" s="462">
        <f>38*2*0.05*0.15*1.6</f>
        <v>0.91200000000000014</v>
      </c>
      <c r="F36" s="464"/>
      <c r="G36" s="464">
        <f t="shared" si="0"/>
        <v>0</v>
      </c>
      <c r="H36" s="464">
        <v>14500</v>
      </c>
      <c r="I36" s="464">
        <f t="shared" si="1"/>
        <v>13224.000000000002</v>
      </c>
      <c r="J36" s="464">
        <f t="shared" si="4"/>
        <v>13224.000000000002</v>
      </c>
      <c r="K36" s="465"/>
    </row>
    <row r="37" spans="2:13" ht="26.4" x14ac:dyDescent="0.25">
      <c r="B37" s="460">
        <f>B35+1</f>
        <v>12</v>
      </c>
      <c r="C37" s="466" t="s">
        <v>816</v>
      </c>
      <c r="D37" s="471" t="s">
        <v>798</v>
      </c>
      <c r="E37" s="462">
        <v>8</v>
      </c>
      <c r="F37" s="464">
        <v>3500</v>
      </c>
      <c r="G37" s="464">
        <f t="shared" si="0"/>
        <v>28000</v>
      </c>
      <c r="H37" s="464">
        <v>3500</v>
      </c>
      <c r="I37" s="464">
        <f t="shared" si="1"/>
        <v>28000</v>
      </c>
      <c r="J37" s="464">
        <f t="shared" si="4"/>
        <v>56000</v>
      </c>
      <c r="K37" s="465"/>
    </row>
    <row r="38" spans="2:13" x14ac:dyDescent="0.25">
      <c r="B38" s="460">
        <f>B37+1</f>
        <v>13</v>
      </c>
      <c r="C38" s="469" t="s">
        <v>799</v>
      </c>
      <c r="D38" s="462" t="s">
        <v>212</v>
      </c>
      <c r="E38" s="474">
        <f>E39+E40</f>
        <v>1.75</v>
      </c>
      <c r="F38" s="464">
        <v>25000</v>
      </c>
      <c r="G38" s="464">
        <f t="shared" si="0"/>
        <v>43750</v>
      </c>
      <c r="H38" s="464"/>
      <c r="I38" s="464">
        <f t="shared" si="1"/>
        <v>0</v>
      </c>
      <c r="J38" s="464">
        <f t="shared" si="4"/>
        <v>43750</v>
      </c>
      <c r="K38" s="475"/>
      <c r="M38" s="476"/>
    </row>
    <row r="39" spans="2:13" x14ac:dyDescent="0.25">
      <c r="B39" s="460"/>
      <c r="C39" s="470" t="s">
        <v>800</v>
      </c>
      <c r="D39" s="462" t="s">
        <v>212</v>
      </c>
      <c r="E39" s="477">
        <v>0.15</v>
      </c>
      <c r="F39" s="464"/>
      <c r="G39" s="464">
        <f t="shared" si="0"/>
        <v>0</v>
      </c>
      <c r="H39" s="464">
        <v>82000</v>
      </c>
      <c r="I39" s="464">
        <f t="shared" si="1"/>
        <v>12300</v>
      </c>
      <c r="J39" s="464">
        <f t="shared" si="4"/>
        <v>12300</v>
      </c>
      <c r="K39" s="465"/>
      <c r="M39" s="478"/>
    </row>
    <row r="40" spans="2:13" x14ac:dyDescent="0.25">
      <c r="B40" s="460"/>
      <c r="C40" s="470" t="s">
        <v>801</v>
      </c>
      <c r="D40" s="462" t="s">
        <v>212</v>
      </c>
      <c r="E40" s="477">
        <v>1.6</v>
      </c>
      <c r="F40" s="464"/>
      <c r="G40" s="464">
        <f t="shared" si="0"/>
        <v>0</v>
      </c>
      <c r="H40" s="464">
        <v>78000</v>
      </c>
      <c r="I40" s="464">
        <f t="shared" si="1"/>
        <v>124800</v>
      </c>
      <c r="J40" s="464">
        <f t="shared" si="4"/>
        <v>124800</v>
      </c>
      <c r="K40" s="465"/>
      <c r="M40" s="478"/>
    </row>
    <row r="41" spans="2:13" x14ac:dyDescent="0.25">
      <c r="B41" s="460"/>
      <c r="C41" s="470" t="s">
        <v>819</v>
      </c>
      <c r="D41" s="462" t="s">
        <v>26</v>
      </c>
      <c r="E41" s="477">
        <v>60</v>
      </c>
      <c r="F41" s="464"/>
      <c r="G41" s="464"/>
      <c r="H41" s="464">
        <v>150</v>
      </c>
      <c r="I41" s="464">
        <f t="shared" si="1"/>
        <v>9000</v>
      </c>
      <c r="J41" s="464">
        <f t="shared" si="4"/>
        <v>9000</v>
      </c>
      <c r="K41" s="465"/>
      <c r="M41" s="478"/>
    </row>
    <row r="42" spans="2:13" x14ac:dyDescent="0.25">
      <c r="B42" s="460"/>
      <c r="C42" s="470" t="s">
        <v>820</v>
      </c>
      <c r="D42" s="462" t="s">
        <v>344</v>
      </c>
      <c r="E42" s="477">
        <v>3</v>
      </c>
      <c r="F42" s="464"/>
      <c r="G42" s="464"/>
      <c r="H42" s="464">
        <v>1150</v>
      </c>
      <c r="I42" s="464">
        <f t="shared" si="1"/>
        <v>3450</v>
      </c>
      <c r="J42" s="464">
        <f t="shared" si="4"/>
        <v>3450</v>
      </c>
      <c r="K42" s="465"/>
      <c r="M42" s="478"/>
    </row>
    <row r="43" spans="2:13" x14ac:dyDescent="0.25">
      <c r="B43" s="460">
        <f>B38+1</f>
        <v>14</v>
      </c>
      <c r="C43" s="469" t="s">
        <v>821</v>
      </c>
      <c r="D43" s="462" t="s">
        <v>25</v>
      </c>
      <c r="E43" s="477">
        <v>13</v>
      </c>
      <c r="F43" s="464">
        <v>2000</v>
      </c>
      <c r="G43" s="464">
        <f t="shared" si="0"/>
        <v>26000</v>
      </c>
      <c r="H43" s="479"/>
      <c r="I43" s="464">
        <f t="shared" si="1"/>
        <v>0</v>
      </c>
      <c r="J43" s="464">
        <f t="shared" si="4"/>
        <v>26000</v>
      </c>
      <c r="K43" s="465"/>
    </row>
    <row r="44" spans="2:13" x14ac:dyDescent="0.25">
      <c r="B44" s="460"/>
      <c r="C44" s="470" t="s">
        <v>822</v>
      </c>
      <c r="D44" s="471" t="s">
        <v>25</v>
      </c>
      <c r="E44" s="474">
        <v>16</v>
      </c>
      <c r="F44" s="464"/>
      <c r="G44" s="464">
        <f t="shared" si="0"/>
        <v>0</v>
      </c>
      <c r="H44" s="479">
        <v>4900</v>
      </c>
      <c r="I44" s="464">
        <f t="shared" si="1"/>
        <v>78400</v>
      </c>
      <c r="J44" s="464">
        <f t="shared" si="4"/>
        <v>78400</v>
      </c>
      <c r="K44" s="475"/>
    </row>
    <row r="45" spans="2:13" x14ac:dyDescent="0.25">
      <c r="B45" s="460"/>
      <c r="C45" s="470" t="s">
        <v>241</v>
      </c>
      <c r="D45" s="471" t="s">
        <v>496</v>
      </c>
      <c r="E45" s="474">
        <v>1</v>
      </c>
      <c r="F45" s="464"/>
      <c r="G45" s="464">
        <f t="shared" si="0"/>
        <v>0</v>
      </c>
      <c r="H45" s="464">
        <v>24000</v>
      </c>
      <c r="I45" s="464">
        <f t="shared" si="1"/>
        <v>24000</v>
      </c>
      <c r="J45" s="464">
        <f t="shared" si="4"/>
        <v>24000</v>
      </c>
      <c r="K45" s="465"/>
    </row>
    <row r="46" spans="2:13" x14ac:dyDescent="0.25">
      <c r="B46" s="460"/>
      <c r="C46" s="470" t="s">
        <v>803</v>
      </c>
      <c r="D46" s="471" t="s">
        <v>240</v>
      </c>
      <c r="E46" s="474">
        <v>2</v>
      </c>
      <c r="F46" s="464"/>
      <c r="G46" s="464">
        <f t="shared" si="0"/>
        <v>0</v>
      </c>
      <c r="H46" s="464">
        <v>1000</v>
      </c>
      <c r="I46" s="464">
        <f t="shared" si="1"/>
        <v>2000</v>
      </c>
      <c r="J46" s="464">
        <f t="shared" si="4"/>
        <v>2000</v>
      </c>
      <c r="K46" s="465"/>
    </row>
    <row r="47" spans="2:13" x14ac:dyDescent="0.25">
      <c r="B47" s="460"/>
      <c r="C47" s="461" t="s">
        <v>812</v>
      </c>
      <c r="D47" s="471"/>
      <c r="E47" s="474"/>
      <c r="F47" s="464"/>
      <c r="G47" s="464"/>
      <c r="H47" s="464"/>
      <c r="I47" s="464"/>
      <c r="J47" s="464"/>
      <c r="K47" s="465"/>
    </row>
    <row r="48" spans="2:13" x14ac:dyDescent="0.25">
      <c r="B48" s="460">
        <v>15</v>
      </c>
      <c r="C48" s="469" t="s">
        <v>813</v>
      </c>
      <c r="D48" s="471" t="s">
        <v>10</v>
      </c>
      <c r="E48" s="474">
        <v>5</v>
      </c>
      <c r="F48" s="464">
        <v>2500</v>
      </c>
      <c r="G48" s="464">
        <f t="shared" si="0"/>
        <v>12500</v>
      </c>
      <c r="H48" s="464">
        <v>2000</v>
      </c>
      <c r="I48" s="464">
        <f t="shared" si="1"/>
        <v>10000</v>
      </c>
      <c r="J48" s="464">
        <f t="shared" si="4"/>
        <v>22500</v>
      </c>
      <c r="K48" s="465"/>
    </row>
    <row r="49" spans="2:13" x14ac:dyDescent="0.25">
      <c r="B49" s="460"/>
      <c r="C49" s="470" t="s">
        <v>814</v>
      </c>
      <c r="D49" s="471" t="s">
        <v>10</v>
      </c>
      <c r="E49" s="474">
        <v>5</v>
      </c>
      <c r="F49" s="464"/>
      <c r="G49" s="464">
        <f t="shared" si="0"/>
        <v>0</v>
      </c>
      <c r="H49" s="464">
        <v>360</v>
      </c>
      <c r="I49" s="464">
        <f t="shared" si="1"/>
        <v>1800</v>
      </c>
      <c r="J49" s="464">
        <f t="shared" si="4"/>
        <v>1800</v>
      </c>
      <c r="K49" s="465"/>
    </row>
    <row r="50" spans="2:13" x14ac:dyDescent="0.25">
      <c r="B50" s="460"/>
      <c r="C50" s="470" t="s">
        <v>815</v>
      </c>
      <c r="D50" s="462" t="s">
        <v>808</v>
      </c>
      <c r="E50" s="463">
        <v>6</v>
      </c>
      <c r="F50" s="464"/>
      <c r="G50" s="464">
        <f t="shared" si="0"/>
        <v>0</v>
      </c>
      <c r="H50" s="464">
        <v>136</v>
      </c>
      <c r="I50" s="464">
        <f t="shared" si="1"/>
        <v>816</v>
      </c>
      <c r="J50" s="464">
        <f t="shared" si="4"/>
        <v>816</v>
      </c>
      <c r="K50" s="465"/>
    </row>
    <row r="51" spans="2:13" x14ac:dyDescent="0.25">
      <c r="B51" s="460"/>
      <c r="C51" s="480" t="s">
        <v>804</v>
      </c>
      <c r="D51" s="467"/>
      <c r="E51" s="468"/>
      <c r="F51" s="464"/>
      <c r="G51" s="464"/>
      <c r="H51" s="464"/>
      <c r="I51" s="464"/>
      <c r="J51" s="464"/>
      <c r="K51" s="465"/>
    </row>
    <row r="52" spans="2:13" ht="26.4" x14ac:dyDescent="0.25">
      <c r="B52" s="460">
        <v>16</v>
      </c>
      <c r="C52" s="469" t="s">
        <v>805</v>
      </c>
      <c r="D52" s="462" t="s">
        <v>806</v>
      </c>
      <c r="E52" s="463">
        <f>58+38*0.25</f>
        <v>67.5</v>
      </c>
      <c r="F52" s="464">
        <v>200</v>
      </c>
      <c r="G52" s="464">
        <f t="shared" si="0"/>
        <v>13500</v>
      </c>
      <c r="H52" s="464"/>
      <c r="I52" s="464">
        <f t="shared" si="1"/>
        <v>0</v>
      </c>
      <c r="J52" s="464">
        <f t="shared" si="4"/>
        <v>13500</v>
      </c>
      <c r="K52" s="465"/>
    </row>
    <row r="53" spans="2:13" x14ac:dyDescent="0.25">
      <c r="B53" s="460"/>
      <c r="C53" s="470" t="s">
        <v>807</v>
      </c>
      <c r="D53" s="471" t="s">
        <v>808</v>
      </c>
      <c r="E53" s="472">
        <f>ROUNDUP(E52*3*1.5/25,0)+1</f>
        <v>14</v>
      </c>
      <c r="F53" s="464"/>
      <c r="G53" s="464">
        <f t="shared" si="0"/>
        <v>0</v>
      </c>
      <c r="H53" s="464">
        <v>1100</v>
      </c>
      <c r="I53" s="464">
        <f t="shared" si="1"/>
        <v>15400</v>
      </c>
      <c r="J53" s="464">
        <f t="shared" ref="J53:J55" si="5">G53+I53</f>
        <v>15400</v>
      </c>
      <c r="K53" s="465"/>
    </row>
    <row r="54" spans="2:13" x14ac:dyDescent="0.25">
      <c r="B54" s="460">
        <f>B52+1</f>
        <v>17</v>
      </c>
      <c r="C54" s="469" t="s">
        <v>809</v>
      </c>
      <c r="D54" s="471" t="s">
        <v>34</v>
      </c>
      <c r="E54" s="473">
        <v>38</v>
      </c>
      <c r="F54" s="464">
        <v>200</v>
      </c>
      <c r="G54" s="464">
        <f t="shared" si="0"/>
        <v>7600</v>
      </c>
      <c r="H54" s="464">
        <v>20</v>
      </c>
      <c r="I54" s="464">
        <f t="shared" si="1"/>
        <v>760</v>
      </c>
      <c r="J54" s="464">
        <f t="shared" si="5"/>
        <v>8360</v>
      </c>
      <c r="K54" s="465"/>
    </row>
    <row r="55" spans="2:13" x14ac:dyDescent="0.25">
      <c r="B55" s="460"/>
      <c r="C55" s="470" t="s">
        <v>802</v>
      </c>
      <c r="D55" s="471" t="s">
        <v>700</v>
      </c>
      <c r="E55" s="462">
        <f>ROUNDUP(9.5*1.15/0.68,0)</f>
        <v>17</v>
      </c>
      <c r="F55" s="464"/>
      <c r="G55" s="464">
        <f t="shared" si="0"/>
        <v>0</v>
      </c>
      <c r="H55" s="464">
        <v>468</v>
      </c>
      <c r="I55" s="464">
        <f t="shared" si="1"/>
        <v>7956</v>
      </c>
      <c r="J55" s="464">
        <f t="shared" si="5"/>
        <v>7956</v>
      </c>
      <c r="K55" s="465"/>
    </row>
    <row r="56" spans="2:13" x14ac:dyDescent="0.25">
      <c r="B56" s="460">
        <f>B54+1</f>
        <v>18</v>
      </c>
      <c r="C56" s="469" t="s">
        <v>701</v>
      </c>
      <c r="D56" s="471" t="s">
        <v>702</v>
      </c>
      <c r="E56" s="462">
        <v>1</v>
      </c>
      <c r="F56" s="464">
        <v>4000</v>
      </c>
      <c r="G56" s="464">
        <f t="shared" si="0"/>
        <v>4000</v>
      </c>
      <c r="H56" s="464">
        <v>1000</v>
      </c>
      <c r="I56" s="464">
        <f t="shared" si="1"/>
        <v>1000</v>
      </c>
      <c r="J56" s="464">
        <f t="shared" si="4"/>
        <v>5000</v>
      </c>
      <c r="K56" s="465"/>
    </row>
    <row r="57" spans="2:13" x14ac:dyDescent="0.25">
      <c r="B57" s="460">
        <f>B56+1</f>
        <v>19</v>
      </c>
      <c r="C57" s="469" t="s">
        <v>703</v>
      </c>
      <c r="D57" s="462" t="s">
        <v>702</v>
      </c>
      <c r="E57" s="474">
        <v>1</v>
      </c>
      <c r="F57" s="464">
        <v>8000</v>
      </c>
      <c r="G57" s="464">
        <f t="shared" si="0"/>
        <v>8000</v>
      </c>
      <c r="H57" s="464"/>
      <c r="I57" s="464">
        <f t="shared" si="1"/>
        <v>0</v>
      </c>
      <c r="J57" s="464">
        <f t="shared" si="4"/>
        <v>8000</v>
      </c>
      <c r="K57" s="475"/>
      <c r="M57" s="476"/>
    </row>
    <row r="58" spans="2:13" x14ac:dyDescent="0.25">
      <c r="B58" s="460"/>
      <c r="C58" s="470" t="s">
        <v>632</v>
      </c>
      <c r="D58" s="462" t="s">
        <v>810</v>
      </c>
      <c r="E58" s="477">
        <v>1</v>
      </c>
      <c r="F58" s="464"/>
      <c r="G58" s="464">
        <f t="shared" si="0"/>
        <v>0</v>
      </c>
      <c r="H58" s="464">
        <v>8000</v>
      </c>
      <c r="I58" s="464">
        <f t="shared" si="1"/>
        <v>8000</v>
      </c>
      <c r="J58" s="464">
        <f t="shared" si="4"/>
        <v>8000</v>
      </c>
      <c r="K58" s="465"/>
      <c r="M58" s="478"/>
    </row>
    <row r="59" spans="2:13" x14ac:dyDescent="0.25">
      <c r="B59" s="640" t="s">
        <v>635</v>
      </c>
      <c r="C59" s="640"/>
      <c r="D59" s="640"/>
      <c r="E59" s="640"/>
      <c r="F59" s="640"/>
      <c r="G59" s="640"/>
      <c r="H59" s="640"/>
      <c r="I59" s="640"/>
      <c r="J59" s="464">
        <f>SUM(G14:G58)</f>
        <v>228730</v>
      </c>
      <c r="K59" s="465"/>
    </row>
    <row r="60" spans="2:13" x14ac:dyDescent="0.25">
      <c r="B60" s="640" t="s">
        <v>471</v>
      </c>
      <c r="C60" s="640"/>
      <c r="D60" s="640"/>
      <c r="E60" s="640"/>
      <c r="F60" s="640"/>
      <c r="G60" s="640"/>
      <c r="H60" s="640"/>
      <c r="I60" s="640"/>
      <c r="J60" s="464">
        <f>SUM(I13:I58)</f>
        <v>557289</v>
      </c>
      <c r="K60" s="465"/>
    </row>
    <row r="61" spans="2:13" x14ac:dyDescent="0.25">
      <c r="B61" s="460"/>
      <c r="C61" s="470" t="s">
        <v>248</v>
      </c>
      <c r="D61" s="462"/>
      <c r="E61" s="481">
        <v>0.06</v>
      </c>
      <c r="F61" s="464"/>
      <c r="G61" s="464"/>
      <c r="H61" s="464"/>
      <c r="I61" s="464"/>
      <c r="J61" s="464">
        <f>SUM(J60)*$E61</f>
        <v>33437.339999999997</v>
      </c>
      <c r="K61" s="465"/>
    </row>
    <row r="62" spans="2:13" x14ac:dyDescent="0.25">
      <c r="B62" s="460"/>
      <c r="C62" s="470" t="s">
        <v>631</v>
      </c>
      <c r="D62" s="462"/>
      <c r="E62" s="481">
        <v>0.02</v>
      </c>
      <c r="F62" s="464"/>
      <c r="G62" s="464"/>
      <c r="H62" s="464"/>
      <c r="I62" s="464"/>
      <c r="J62" s="464">
        <f>SUM(J59:J61)*$E62</f>
        <v>16389.126799999998</v>
      </c>
      <c r="K62" s="465"/>
    </row>
    <row r="63" spans="2:13" x14ac:dyDescent="0.25">
      <c r="B63" s="460"/>
      <c r="C63" s="470" t="s">
        <v>629</v>
      </c>
      <c r="D63" s="462"/>
      <c r="E63" s="481">
        <v>0.02</v>
      </c>
      <c r="F63" s="464"/>
      <c r="G63" s="464"/>
      <c r="H63" s="464"/>
      <c r="I63" s="464"/>
      <c r="J63" s="464">
        <f>SUM(J59:J62)*$E63</f>
        <v>16716.909336000001</v>
      </c>
      <c r="K63" s="465"/>
    </row>
    <row r="64" spans="2:13" x14ac:dyDescent="0.25">
      <c r="B64" s="640" t="s">
        <v>513</v>
      </c>
      <c r="C64" s="640"/>
      <c r="D64" s="640"/>
      <c r="E64" s="640"/>
      <c r="F64" s="640"/>
      <c r="G64" s="640"/>
      <c r="H64" s="640"/>
      <c r="I64" s="640"/>
      <c r="J64" s="482">
        <f>SUM(J59:J63)</f>
        <v>852562.37613599992</v>
      </c>
      <c r="K64" s="465"/>
    </row>
    <row r="65" spans="2:13" x14ac:dyDescent="0.25">
      <c r="B65" s="648" t="s">
        <v>650</v>
      </c>
      <c r="C65" s="643" t="s">
        <v>0</v>
      </c>
      <c r="D65" s="643" t="s">
        <v>22</v>
      </c>
      <c r="E65" s="649" t="s">
        <v>184</v>
      </c>
      <c r="F65" s="644" t="s">
        <v>649</v>
      </c>
      <c r="G65" s="644"/>
      <c r="H65" s="642" t="s">
        <v>215</v>
      </c>
      <c r="I65" s="642"/>
      <c r="J65" s="642" t="s">
        <v>777</v>
      </c>
      <c r="K65" s="465"/>
    </row>
    <row r="66" spans="2:13" x14ac:dyDescent="0.25">
      <c r="B66" s="648"/>
      <c r="C66" s="643"/>
      <c r="D66" s="643"/>
      <c r="E66" s="649"/>
      <c r="F66" s="458" t="s">
        <v>476</v>
      </c>
      <c r="G66" s="458" t="s">
        <v>776</v>
      </c>
      <c r="H66" s="458" t="s">
        <v>476</v>
      </c>
      <c r="I66" s="458" t="s">
        <v>776</v>
      </c>
      <c r="J66" s="642"/>
      <c r="K66" s="465"/>
    </row>
    <row r="67" spans="2:13" x14ac:dyDescent="0.25">
      <c r="B67" s="650" t="s">
        <v>655</v>
      </c>
      <c r="C67" s="651"/>
      <c r="D67" s="651"/>
      <c r="E67" s="651"/>
      <c r="F67" s="651"/>
      <c r="G67" s="651"/>
      <c r="H67" s="651"/>
      <c r="I67" s="651"/>
      <c r="J67" s="652"/>
      <c r="K67" s="459"/>
    </row>
    <row r="68" spans="2:13" x14ac:dyDescent="0.25">
      <c r="B68" s="460">
        <v>20</v>
      </c>
      <c r="C68" s="469" t="s">
        <v>647</v>
      </c>
      <c r="D68" s="462" t="s">
        <v>498</v>
      </c>
      <c r="E68" s="463">
        <v>47</v>
      </c>
      <c r="F68" s="464">
        <v>80</v>
      </c>
      <c r="G68" s="464">
        <f t="shared" ref="G68:G99" si="6">F68*E68</f>
        <v>3760</v>
      </c>
      <c r="H68" s="464"/>
      <c r="I68" s="464">
        <f t="shared" ref="I68:I105" si="7">H68*E68</f>
        <v>0</v>
      </c>
      <c r="J68" s="464">
        <f>G68+I68</f>
        <v>3760</v>
      </c>
      <c r="K68" s="465"/>
    </row>
    <row r="69" spans="2:13" x14ac:dyDescent="0.25">
      <c r="B69" s="460"/>
      <c r="C69" s="483" t="s">
        <v>651</v>
      </c>
      <c r="D69" s="467" t="s">
        <v>217</v>
      </c>
      <c r="E69" s="468">
        <f>ROUNDUP(E68*1.2/20,0)</f>
        <v>3</v>
      </c>
      <c r="F69" s="464"/>
      <c r="G69" s="464">
        <f t="shared" si="6"/>
        <v>0</v>
      </c>
      <c r="H69" s="464">
        <v>1550</v>
      </c>
      <c r="I69" s="464">
        <f t="shared" si="7"/>
        <v>4650</v>
      </c>
      <c r="J69" s="464">
        <f t="shared" ref="J69:J105" si="8">G69+I69</f>
        <v>4650</v>
      </c>
      <c r="K69" s="465"/>
    </row>
    <row r="70" spans="2:13" x14ac:dyDescent="0.25">
      <c r="B70" s="460">
        <v>21</v>
      </c>
      <c r="C70" s="469" t="s">
        <v>660</v>
      </c>
      <c r="D70" s="462" t="s">
        <v>23</v>
      </c>
      <c r="E70" s="463">
        <v>26.68</v>
      </c>
      <c r="F70" s="464">
        <v>600</v>
      </c>
      <c r="G70" s="464">
        <f t="shared" si="6"/>
        <v>16008</v>
      </c>
      <c r="H70" s="464"/>
      <c r="I70" s="464">
        <f t="shared" si="7"/>
        <v>0</v>
      </c>
      <c r="J70" s="464">
        <f t="shared" si="8"/>
        <v>16008</v>
      </c>
      <c r="K70" s="465"/>
    </row>
    <row r="71" spans="2:13" x14ac:dyDescent="0.25">
      <c r="B71" s="460"/>
      <c r="C71" s="470" t="s">
        <v>681</v>
      </c>
      <c r="D71" s="471" t="s">
        <v>25</v>
      </c>
      <c r="E71" s="472">
        <f>111*0.045*0.145</f>
        <v>0.724275</v>
      </c>
      <c r="F71" s="464"/>
      <c r="G71" s="464">
        <f t="shared" si="6"/>
        <v>0</v>
      </c>
      <c r="H71" s="464">
        <v>25000</v>
      </c>
      <c r="I71" s="464">
        <f t="shared" si="7"/>
        <v>18106.875</v>
      </c>
      <c r="J71" s="464">
        <f t="shared" si="8"/>
        <v>18106.875</v>
      </c>
      <c r="K71" s="465"/>
    </row>
    <row r="72" spans="2:13" x14ac:dyDescent="0.25">
      <c r="B72" s="460">
        <v>22</v>
      </c>
      <c r="C72" s="469" t="s">
        <v>710</v>
      </c>
      <c r="D72" s="471" t="s">
        <v>639</v>
      </c>
      <c r="E72" s="473">
        <v>24</v>
      </c>
      <c r="F72" s="464">
        <v>800</v>
      </c>
      <c r="G72" s="464">
        <f t="shared" si="6"/>
        <v>19200</v>
      </c>
      <c r="H72" s="464"/>
      <c r="I72" s="464">
        <f t="shared" si="7"/>
        <v>0</v>
      </c>
      <c r="J72" s="464">
        <f t="shared" si="8"/>
        <v>19200</v>
      </c>
      <c r="K72" s="465"/>
    </row>
    <row r="73" spans="2:13" x14ac:dyDescent="0.25">
      <c r="B73" s="460"/>
      <c r="C73" s="470" t="s">
        <v>708</v>
      </c>
      <c r="D73" s="471" t="s">
        <v>25</v>
      </c>
      <c r="E73" s="462">
        <v>0.505</v>
      </c>
      <c r="F73" s="464"/>
      <c r="G73" s="464">
        <f t="shared" si="6"/>
        <v>0</v>
      </c>
      <c r="H73" s="464">
        <v>25000</v>
      </c>
      <c r="I73" s="464">
        <f t="shared" si="7"/>
        <v>12625</v>
      </c>
      <c r="J73" s="464">
        <f t="shared" si="8"/>
        <v>12625</v>
      </c>
      <c r="K73" s="465"/>
    </row>
    <row r="74" spans="2:13" x14ac:dyDescent="0.25">
      <c r="B74" s="460"/>
      <c r="C74" s="470" t="s">
        <v>709</v>
      </c>
      <c r="D74" s="471" t="s">
        <v>25</v>
      </c>
      <c r="E74" s="462">
        <f>0.339</f>
        <v>0.33900000000000002</v>
      </c>
      <c r="F74" s="464"/>
      <c r="G74" s="464">
        <f t="shared" si="6"/>
        <v>0</v>
      </c>
      <c r="H74" s="464">
        <v>25000</v>
      </c>
      <c r="I74" s="464">
        <f t="shared" si="7"/>
        <v>8475</v>
      </c>
      <c r="J74" s="464">
        <f t="shared" si="8"/>
        <v>8475</v>
      </c>
      <c r="K74" s="465"/>
    </row>
    <row r="75" spans="2:13" x14ac:dyDescent="0.25">
      <c r="B75" s="460">
        <v>23</v>
      </c>
      <c r="C75" s="469" t="s">
        <v>656</v>
      </c>
      <c r="D75" s="462" t="s">
        <v>23</v>
      </c>
      <c r="E75" s="474">
        <f>((7+9)*2)*2.91</f>
        <v>93.12</v>
      </c>
      <c r="F75" s="464">
        <v>800</v>
      </c>
      <c r="G75" s="464">
        <f t="shared" si="6"/>
        <v>74496</v>
      </c>
      <c r="H75" s="464"/>
      <c r="I75" s="464">
        <f t="shared" si="7"/>
        <v>0</v>
      </c>
      <c r="J75" s="464">
        <f t="shared" si="8"/>
        <v>74496</v>
      </c>
      <c r="K75" s="475"/>
      <c r="M75" s="476"/>
    </row>
    <row r="76" spans="2:13" x14ac:dyDescent="0.25">
      <c r="B76" s="460"/>
      <c r="C76" s="470" t="s">
        <v>679</v>
      </c>
      <c r="D76" s="462" t="s">
        <v>25</v>
      </c>
      <c r="E76" s="477">
        <f>(54+75+60+27+15+51+15+24)*0.045*0.145</f>
        <v>2.094525</v>
      </c>
      <c r="F76" s="464"/>
      <c r="G76" s="464">
        <f t="shared" si="6"/>
        <v>0</v>
      </c>
      <c r="H76" s="464">
        <v>25000</v>
      </c>
      <c r="I76" s="464">
        <f t="shared" si="7"/>
        <v>52363.125</v>
      </c>
      <c r="J76" s="464">
        <f t="shared" si="8"/>
        <v>52363.125</v>
      </c>
      <c r="K76" s="465"/>
      <c r="M76" s="478"/>
    </row>
    <row r="77" spans="2:13" x14ac:dyDescent="0.25">
      <c r="B77" s="460"/>
      <c r="C77" s="470" t="s">
        <v>646</v>
      </c>
      <c r="D77" s="462" t="s">
        <v>25</v>
      </c>
      <c r="E77" s="477">
        <f>(9+15+6+3+3+6+3+3)*0.045*0.195</f>
        <v>0.42120000000000002</v>
      </c>
      <c r="F77" s="464"/>
      <c r="G77" s="464">
        <f t="shared" si="6"/>
        <v>0</v>
      </c>
      <c r="H77" s="464">
        <v>25000</v>
      </c>
      <c r="I77" s="464">
        <f t="shared" si="7"/>
        <v>10530</v>
      </c>
      <c r="J77" s="464">
        <f t="shared" si="8"/>
        <v>10530</v>
      </c>
      <c r="K77" s="465"/>
      <c r="M77" s="478"/>
    </row>
    <row r="78" spans="2:13" x14ac:dyDescent="0.25">
      <c r="B78" s="460"/>
      <c r="C78" s="470" t="s">
        <v>680</v>
      </c>
      <c r="D78" s="462" t="s">
        <v>25</v>
      </c>
      <c r="E78" s="477">
        <f>(12+12+12+6)*0.025*0.095</f>
        <v>9.9750000000000005E-2</v>
      </c>
      <c r="F78" s="464"/>
      <c r="G78" s="464">
        <f t="shared" si="6"/>
        <v>0</v>
      </c>
      <c r="H78" s="479">
        <v>25000</v>
      </c>
      <c r="I78" s="464">
        <f t="shared" si="7"/>
        <v>2493.75</v>
      </c>
      <c r="J78" s="464">
        <f t="shared" si="8"/>
        <v>2493.75</v>
      </c>
      <c r="K78" s="465"/>
    </row>
    <row r="79" spans="2:13" x14ac:dyDescent="0.25">
      <c r="B79" s="460">
        <v>24</v>
      </c>
      <c r="C79" s="469" t="s">
        <v>657</v>
      </c>
      <c r="D79" s="471" t="s">
        <v>23</v>
      </c>
      <c r="E79" s="474">
        <f>E75-12.5</f>
        <v>80.62</v>
      </c>
      <c r="F79" s="464">
        <v>300</v>
      </c>
      <c r="G79" s="464">
        <f t="shared" si="6"/>
        <v>24186</v>
      </c>
      <c r="H79" s="479"/>
      <c r="I79" s="464">
        <f t="shared" si="7"/>
        <v>0</v>
      </c>
      <c r="J79" s="464">
        <f t="shared" si="8"/>
        <v>24186</v>
      </c>
      <c r="K79" s="475"/>
    </row>
    <row r="80" spans="2:13" ht="26.4" x14ac:dyDescent="0.25">
      <c r="B80" s="460"/>
      <c r="C80" s="470" t="s">
        <v>682</v>
      </c>
      <c r="D80" s="471" t="s">
        <v>344</v>
      </c>
      <c r="E80" s="474">
        <f>ROUND(E79/6,0)</f>
        <v>13</v>
      </c>
      <c r="F80" s="464"/>
      <c r="G80" s="464">
        <f t="shared" si="6"/>
        <v>0</v>
      </c>
      <c r="H80" s="464">
        <v>1150</v>
      </c>
      <c r="I80" s="464">
        <f t="shared" si="7"/>
        <v>14950</v>
      </c>
      <c r="J80" s="464">
        <f t="shared" si="8"/>
        <v>14950</v>
      </c>
      <c r="K80" s="465"/>
    </row>
    <row r="81" spans="2:12" ht="26.4" x14ac:dyDescent="0.25">
      <c r="B81" s="460"/>
      <c r="C81" s="470" t="s">
        <v>683</v>
      </c>
      <c r="D81" s="471" t="s">
        <v>344</v>
      </c>
      <c r="E81" s="474">
        <f>ROUND(E79/12,)</f>
        <v>7</v>
      </c>
      <c r="F81" s="464"/>
      <c r="G81" s="464">
        <f t="shared" si="6"/>
        <v>0</v>
      </c>
      <c r="H81" s="464">
        <v>1150</v>
      </c>
      <c r="I81" s="464">
        <f t="shared" si="7"/>
        <v>8050</v>
      </c>
      <c r="J81" s="464">
        <f t="shared" si="8"/>
        <v>8050</v>
      </c>
      <c r="K81" s="465"/>
    </row>
    <row r="82" spans="2:12" x14ac:dyDescent="0.25">
      <c r="B82" s="460">
        <v>25</v>
      </c>
      <c r="C82" s="469" t="s">
        <v>658</v>
      </c>
      <c r="D82" s="471" t="s">
        <v>23</v>
      </c>
      <c r="E82" s="474">
        <f>E79</f>
        <v>80.62</v>
      </c>
      <c r="F82" s="464">
        <v>180</v>
      </c>
      <c r="G82" s="464">
        <f t="shared" si="6"/>
        <v>14511.6</v>
      </c>
      <c r="H82" s="464"/>
      <c r="I82" s="464">
        <f t="shared" si="7"/>
        <v>0</v>
      </c>
      <c r="J82" s="464">
        <f t="shared" si="8"/>
        <v>14511.6</v>
      </c>
      <c r="K82" s="465"/>
    </row>
    <row r="83" spans="2:12" x14ac:dyDescent="0.25">
      <c r="B83" s="460"/>
      <c r="C83" s="470" t="s">
        <v>684</v>
      </c>
      <c r="D83" s="471" t="s">
        <v>25</v>
      </c>
      <c r="E83" s="474">
        <v>0.4</v>
      </c>
      <c r="F83" s="464"/>
      <c r="G83" s="464">
        <f t="shared" si="6"/>
        <v>0</v>
      </c>
      <c r="H83" s="464">
        <v>25000</v>
      </c>
      <c r="I83" s="464">
        <f t="shared" si="7"/>
        <v>10000</v>
      </c>
      <c r="J83" s="464">
        <f t="shared" si="8"/>
        <v>10000</v>
      </c>
      <c r="K83" s="465"/>
    </row>
    <row r="84" spans="2:12" x14ac:dyDescent="0.25">
      <c r="B84" s="460">
        <v>26</v>
      </c>
      <c r="C84" s="469" t="s">
        <v>659</v>
      </c>
      <c r="D84" s="471" t="s">
        <v>23</v>
      </c>
      <c r="E84" s="474">
        <f>E82</f>
        <v>80.62</v>
      </c>
      <c r="F84" s="464">
        <v>100</v>
      </c>
      <c r="G84" s="464">
        <f t="shared" si="6"/>
        <v>8062</v>
      </c>
      <c r="H84" s="464"/>
      <c r="I84" s="464">
        <f t="shared" si="7"/>
        <v>0</v>
      </c>
      <c r="J84" s="464">
        <f t="shared" si="8"/>
        <v>8062</v>
      </c>
      <c r="K84" s="465"/>
    </row>
    <row r="85" spans="2:12" ht="26.4" x14ac:dyDescent="0.25">
      <c r="B85" s="460"/>
      <c r="C85" s="470" t="s">
        <v>683</v>
      </c>
      <c r="D85" s="471" t="s">
        <v>344</v>
      </c>
      <c r="E85" s="474">
        <f>E81</f>
        <v>7</v>
      </c>
      <c r="F85" s="464"/>
      <c r="G85" s="464">
        <f t="shared" si="6"/>
        <v>0</v>
      </c>
      <c r="H85" s="464">
        <v>1150</v>
      </c>
      <c r="I85" s="464">
        <f t="shared" si="7"/>
        <v>8050</v>
      </c>
      <c r="J85" s="464">
        <f t="shared" si="8"/>
        <v>8050</v>
      </c>
      <c r="K85" s="465"/>
    </row>
    <row r="86" spans="2:12" x14ac:dyDescent="0.25">
      <c r="B86" s="460">
        <v>27</v>
      </c>
      <c r="C86" s="469" t="s">
        <v>754</v>
      </c>
      <c r="D86" s="462" t="s">
        <v>23</v>
      </c>
      <c r="E86" s="474">
        <f>E84</f>
        <v>80.62</v>
      </c>
      <c r="F86" s="464">
        <v>100</v>
      </c>
      <c r="G86" s="464">
        <f t="shared" si="6"/>
        <v>8062</v>
      </c>
      <c r="H86" s="464"/>
      <c r="I86" s="464">
        <f t="shared" si="7"/>
        <v>0</v>
      </c>
      <c r="J86" s="464">
        <f t="shared" si="8"/>
        <v>8062</v>
      </c>
      <c r="K86" s="465"/>
    </row>
    <row r="87" spans="2:12" x14ac:dyDescent="0.25">
      <c r="B87" s="460"/>
      <c r="C87" s="470" t="s">
        <v>685</v>
      </c>
      <c r="D87" s="462" t="s">
        <v>217</v>
      </c>
      <c r="E87" s="474">
        <f>ROUNDUP(E86*1.2/75,0)</f>
        <v>2</v>
      </c>
      <c r="F87" s="464"/>
      <c r="G87" s="464">
        <f t="shared" si="6"/>
        <v>0</v>
      </c>
      <c r="H87" s="464">
        <v>7000</v>
      </c>
      <c r="I87" s="464">
        <f t="shared" si="7"/>
        <v>14000</v>
      </c>
      <c r="J87" s="464">
        <f t="shared" si="8"/>
        <v>14000</v>
      </c>
      <c r="K87" s="465"/>
    </row>
    <row r="88" spans="2:12" x14ac:dyDescent="0.25">
      <c r="B88" s="460">
        <v>28</v>
      </c>
      <c r="C88" s="469" t="s">
        <v>302</v>
      </c>
      <c r="D88" s="462" t="s">
        <v>23</v>
      </c>
      <c r="E88" s="474">
        <f>E86</f>
        <v>80.62</v>
      </c>
      <c r="F88" s="464">
        <v>120</v>
      </c>
      <c r="G88" s="464">
        <f t="shared" si="6"/>
        <v>9674.4000000000015</v>
      </c>
      <c r="H88" s="464"/>
      <c r="I88" s="464">
        <f t="shared" si="7"/>
        <v>0</v>
      </c>
      <c r="J88" s="464">
        <f t="shared" si="8"/>
        <v>9674.4000000000015</v>
      </c>
      <c r="K88" s="465"/>
    </row>
    <row r="89" spans="2:12" x14ac:dyDescent="0.25">
      <c r="B89" s="460"/>
      <c r="C89" s="470" t="s">
        <v>691</v>
      </c>
      <c r="D89" s="462" t="s">
        <v>217</v>
      </c>
      <c r="E89" s="474">
        <v>1</v>
      </c>
      <c r="F89" s="464"/>
      <c r="G89" s="464">
        <f t="shared" si="6"/>
        <v>0</v>
      </c>
      <c r="H89" s="464">
        <v>7450</v>
      </c>
      <c r="I89" s="464">
        <f t="shared" si="7"/>
        <v>7450</v>
      </c>
      <c r="J89" s="464">
        <f t="shared" si="8"/>
        <v>7450</v>
      </c>
      <c r="K89" s="465"/>
    </row>
    <row r="90" spans="2:12" x14ac:dyDescent="0.25">
      <c r="B90" s="460"/>
      <c r="C90" s="483" t="s">
        <v>693</v>
      </c>
      <c r="D90" s="471" t="s">
        <v>217</v>
      </c>
      <c r="E90" s="463">
        <v>6</v>
      </c>
      <c r="F90" s="464"/>
      <c r="G90" s="464">
        <f t="shared" si="6"/>
        <v>0</v>
      </c>
      <c r="H90" s="464">
        <v>1560</v>
      </c>
      <c r="I90" s="464">
        <f t="shared" si="7"/>
        <v>9360</v>
      </c>
      <c r="J90" s="464">
        <f t="shared" si="8"/>
        <v>9360</v>
      </c>
      <c r="K90" s="465"/>
    </row>
    <row r="91" spans="2:12" x14ac:dyDescent="0.25">
      <c r="B91" s="460">
        <v>29</v>
      </c>
      <c r="C91" s="469" t="s">
        <v>687</v>
      </c>
      <c r="D91" s="462" t="s">
        <v>23</v>
      </c>
      <c r="E91" s="474">
        <f>49.43-6</f>
        <v>43.43</v>
      </c>
      <c r="F91" s="464">
        <v>800</v>
      </c>
      <c r="G91" s="464">
        <f t="shared" si="6"/>
        <v>34744</v>
      </c>
      <c r="H91" s="464"/>
      <c r="I91" s="464">
        <f t="shared" si="7"/>
        <v>0</v>
      </c>
      <c r="J91" s="464">
        <f t="shared" si="8"/>
        <v>34744</v>
      </c>
      <c r="K91" s="465"/>
    </row>
    <row r="92" spans="2:12" x14ac:dyDescent="0.25">
      <c r="B92" s="460"/>
      <c r="C92" s="470" t="s">
        <v>686</v>
      </c>
      <c r="D92" s="471" t="s">
        <v>25</v>
      </c>
      <c r="E92" s="477">
        <f>(18+21+21)*0.045*0.095</f>
        <v>0.25649999999999995</v>
      </c>
      <c r="F92" s="464"/>
      <c r="G92" s="464">
        <f t="shared" si="6"/>
        <v>0</v>
      </c>
      <c r="H92" s="464">
        <v>25000</v>
      </c>
      <c r="I92" s="464">
        <f t="shared" si="7"/>
        <v>6412.4999999999991</v>
      </c>
      <c r="J92" s="464">
        <f t="shared" si="8"/>
        <v>6412.4999999999991</v>
      </c>
      <c r="K92" s="465"/>
      <c r="L92" s="478"/>
    </row>
    <row r="93" spans="2:12" x14ac:dyDescent="0.25">
      <c r="B93" s="460"/>
      <c r="C93" s="470" t="s">
        <v>679</v>
      </c>
      <c r="D93" s="462" t="s">
        <v>25</v>
      </c>
      <c r="E93" s="477">
        <f>(48+39+21)*0.045*0.145</f>
        <v>0.70469999999999988</v>
      </c>
      <c r="F93" s="464"/>
      <c r="G93" s="464">
        <f t="shared" si="6"/>
        <v>0</v>
      </c>
      <c r="H93" s="464">
        <v>25000</v>
      </c>
      <c r="I93" s="464">
        <f t="shared" si="7"/>
        <v>17617.499999999996</v>
      </c>
      <c r="J93" s="464">
        <f t="shared" si="8"/>
        <v>17617.499999999996</v>
      </c>
      <c r="K93" s="465"/>
    </row>
    <row r="94" spans="2:12" x14ac:dyDescent="0.25">
      <c r="B94" s="460"/>
      <c r="C94" s="470" t="s">
        <v>646</v>
      </c>
      <c r="D94" s="462" t="s">
        <v>25</v>
      </c>
      <c r="E94" s="477">
        <f>(6+6+3)*0.045*0.195</f>
        <v>0.13162499999999999</v>
      </c>
      <c r="F94" s="464"/>
      <c r="G94" s="464">
        <f t="shared" si="6"/>
        <v>0</v>
      </c>
      <c r="H94" s="464">
        <v>25000</v>
      </c>
      <c r="I94" s="464">
        <f t="shared" si="7"/>
        <v>3290.625</v>
      </c>
      <c r="J94" s="464">
        <f t="shared" si="8"/>
        <v>3290.625</v>
      </c>
      <c r="K94" s="465"/>
    </row>
    <row r="95" spans="2:12" x14ac:dyDescent="0.25">
      <c r="B95" s="460">
        <v>30</v>
      </c>
      <c r="C95" s="469" t="s">
        <v>688</v>
      </c>
      <c r="D95" s="471" t="s">
        <v>23</v>
      </c>
      <c r="E95" s="474">
        <f>E91</f>
        <v>43.43</v>
      </c>
      <c r="F95" s="464">
        <v>200</v>
      </c>
      <c r="G95" s="464">
        <f t="shared" si="6"/>
        <v>8686</v>
      </c>
      <c r="H95" s="464"/>
      <c r="I95" s="464">
        <f t="shared" si="7"/>
        <v>0</v>
      </c>
      <c r="J95" s="464">
        <f t="shared" si="8"/>
        <v>8686</v>
      </c>
      <c r="K95" s="465"/>
    </row>
    <row r="96" spans="2:12" ht="26.4" x14ac:dyDescent="0.25">
      <c r="B96" s="460"/>
      <c r="C96" s="470" t="s">
        <v>689</v>
      </c>
      <c r="D96" s="471" t="s">
        <v>344</v>
      </c>
      <c r="E96" s="474">
        <f>ROUNDUP(E95/6,)</f>
        <v>8</v>
      </c>
      <c r="F96" s="464"/>
      <c r="G96" s="464">
        <f t="shared" si="6"/>
        <v>0</v>
      </c>
      <c r="H96" s="464">
        <v>1070</v>
      </c>
      <c r="I96" s="464">
        <f t="shared" si="7"/>
        <v>8560</v>
      </c>
      <c r="J96" s="464">
        <f t="shared" si="8"/>
        <v>8560</v>
      </c>
      <c r="K96" s="465"/>
    </row>
    <row r="97" spans="2:251" ht="26.4" x14ac:dyDescent="0.25">
      <c r="B97" s="460">
        <v>31</v>
      </c>
      <c r="C97" s="469" t="s">
        <v>690</v>
      </c>
      <c r="D97" s="462" t="s">
        <v>23</v>
      </c>
      <c r="E97" s="474">
        <f>E91*2</f>
        <v>86.86</v>
      </c>
      <c r="F97" s="464">
        <v>120</v>
      </c>
      <c r="G97" s="464">
        <f t="shared" si="6"/>
        <v>10423.200000000001</v>
      </c>
      <c r="H97" s="464"/>
      <c r="I97" s="464">
        <f t="shared" si="7"/>
        <v>0</v>
      </c>
      <c r="J97" s="464">
        <f t="shared" si="8"/>
        <v>10423.200000000001</v>
      </c>
      <c r="K97" s="465"/>
    </row>
    <row r="98" spans="2:251" x14ac:dyDescent="0.25">
      <c r="B98" s="460"/>
      <c r="C98" s="470" t="s">
        <v>692</v>
      </c>
      <c r="D98" s="462" t="s">
        <v>217</v>
      </c>
      <c r="E98" s="474">
        <v>1</v>
      </c>
      <c r="F98" s="464"/>
      <c r="G98" s="464">
        <f t="shared" si="6"/>
        <v>0</v>
      </c>
      <c r="H98" s="464">
        <v>1300</v>
      </c>
      <c r="I98" s="464">
        <f t="shared" si="7"/>
        <v>1300</v>
      </c>
      <c r="J98" s="464">
        <f t="shared" si="8"/>
        <v>1300</v>
      </c>
      <c r="K98" s="465"/>
    </row>
    <row r="99" spans="2:251" x14ac:dyDescent="0.25">
      <c r="B99" s="460">
        <v>32</v>
      </c>
      <c r="C99" s="469" t="s">
        <v>773</v>
      </c>
      <c r="D99" s="462" t="s">
        <v>23</v>
      </c>
      <c r="E99" s="474">
        <f>32*0.5</f>
        <v>16</v>
      </c>
      <c r="F99" s="464">
        <v>100</v>
      </c>
      <c r="G99" s="464">
        <f t="shared" si="6"/>
        <v>1600</v>
      </c>
      <c r="H99" s="464"/>
      <c r="I99" s="464">
        <f t="shared" si="7"/>
        <v>0</v>
      </c>
      <c r="J99" s="464">
        <f t="shared" si="8"/>
        <v>1600</v>
      </c>
      <c r="K99" s="465"/>
    </row>
    <row r="100" spans="2:251" x14ac:dyDescent="0.25">
      <c r="B100" s="460"/>
      <c r="C100" s="470" t="s">
        <v>774</v>
      </c>
      <c r="D100" s="462" t="s">
        <v>217</v>
      </c>
      <c r="E100" s="474">
        <v>2</v>
      </c>
      <c r="F100" s="464"/>
      <c r="G100" s="464"/>
      <c r="H100" s="464">
        <v>1800</v>
      </c>
      <c r="I100" s="464">
        <f t="shared" si="7"/>
        <v>3600</v>
      </c>
      <c r="J100" s="464">
        <f t="shared" si="8"/>
        <v>3600</v>
      </c>
      <c r="K100" s="465"/>
    </row>
    <row r="101" spans="2:251" s="486" customFormat="1" x14ac:dyDescent="0.25">
      <c r="B101" s="460">
        <v>33</v>
      </c>
      <c r="C101" s="466" t="s">
        <v>772</v>
      </c>
      <c r="D101" s="471" t="s">
        <v>25</v>
      </c>
      <c r="E101" s="484">
        <f>E73+E74+E76+E77+E78+E92+E93+E94+E71</f>
        <v>5.2765749999999993</v>
      </c>
      <c r="F101" s="485">
        <v>2500</v>
      </c>
      <c r="G101" s="464">
        <f>F101*E101</f>
        <v>13191.437499999998</v>
      </c>
      <c r="H101" s="485"/>
      <c r="I101" s="464">
        <f t="shared" si="7"/>
        <v>0</v>
      </c>
      <c r="J101" s="464">
        <f t="shared" si="8"/>
        <v>13191.437499999998</v>
      </c>
      <c r="K101" s="465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4"/>
      <c r="CW101" s="454"/>
      <c r="CX101" s="454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4"/>
      <c r="DK101" s="454"/>
      <c r="DL101" s="454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454"/>
      <c r="FL101" s="454"/>
      <c r="FM101" s="454"/>
      <c r="FN101" s="454"/>
      <c r="FO101" s="454"/>
      <c r="FP101" s="454"/>
      <c r="FQ101" s="454"/>
      <c r="FR101" s="454"/>
      <c r="FS101" s="454"/>
      <c r="FT101" s="454"/>
      <c r="FU101" s="454"/>
      <c r="FV101" s="454"/>
      <c r="FW101" s="454"/>
      <c r="FX101" s="454"/>
      <c r="FY101" s="454"/>
      <c r="FZ101" s="454"/>
      <c r="GA101" s="454"/>
      <c r="GB101" s="454"/>
      <c r="GC101" s="454"/>
      <c r="GD101" s="454"/>
      <c r="GE101" s="454"/>
      <c r="GF101" s="454"/>
      <c r="GG101" s="454"/>
      <c r="GH101" s="454"/>
      <c r="GI101" s="454"/>
      <c r="GJ101" s="454"/>
      <c r="GK101" s="454"/>
      <c r="GL101" s="454"/>
      <c r="GM101" s="454"/>
      <c r="GN101" s="454"/>
      <c r="GO101" s="454"/>
      <c r="GP101" s="454"/>
      <c r="GQ101" s="454"/>
      <c r="GR101" s="454"/>
      <c r="GS101" s="454"/>
      <c r="GT101" s="454"/>
      <c r="GU101" s="454"/>
      <c r="GV101" s="454"/>
      <c r="GW101" s="454"/>
      <c r="GX101" s="454"/>
      <c r="GY101" s="454"/>
      <c r="GZ101" s="454"/>
      <c r="HA101" s="454"/>
      <c r="HB101" s="454"/>
      <c r="HC101" s="454"/>
      <c r="HD101" s="454"/>
      <c r="HE101" s="454"/>
      <c r="HF101" s="454"/>
      <c r="HG101" s="454"/>
      <c r="HH101" s="454"/>
      <c r="HI101" s="454"/>
      <c r="HJ101" s="454"/>
      <c r="HK101" s="454"/>
      <c r="HL101" s="454"/>
      <c r="HM101" s="454"/>
      <c r="HN101" s="454"/>
      <c r="HO101" s="454"/>
      <c r="HP101" s="454"/>
      <c r="HQ101" s="454"/>
      <c r="HR101" s="454"/>
      <c r="HS101" s="454"/>
      <c r="HT101" s="454"/>
      <c r="HU101" s="454"/>
      <c r="HV101" s="454"/>
      <c r="HW101" s="454"/>
      <c r="HX101" s="454"/>
      <c r="HY101" s="454"/>
      <c r="HZ101" s="454"/>
      <c r="IA101" s="454"/>
      <c r="IB101" s="454"/>
      <c r="IC101" s="454"/>
      <c r="ID101" s="454"/>
      <c r="IE101" s="454"/>
      <c r="IF101" s="454"/>
      <c r="IG101" s="454"/>
      <c r="IH101" s="454"/>
      <c r="II101" s="454"/>
      <c r="IJ101" s="454"/>
      <c r="IK101" s="454"/>
      <c r="IL101" s="454"/>
      <c r="IM101" s="454"/>
      <c r="IN101" s="454"/>
      <c r="IO101" s="454"/>
      <c r="IP101" s="454"/>
      <c r="IQ101" s="454"/>
    </row>
    <row r="102" spans="2:251" s="486" customFormat="1" ht="26.4" x14ac:dyDescent="0.25">
      <c r="B102" s="460"/>
      <c r="C102" s="483" t="s">
        <v>770</v>
      </c>
      <c r="D102" s="471" t="s">
        <v>344</v>
      </c>
      <c r="E102" s="484">
        <f>ROUNDUP(313*0.3/50,0)</f>
        <v>2</v>
      </c>
      <c r="F102" s="485"/>
      <c r="G102" s="464"/>
      <c r="H102" s="485">
        <v>2890</v>
      </c>
      <c r="I102" s="464">
        <f t="shared" si="7"/>
        <v>5780</v>
      </c>
      <c r="J102" s="464">
        <f t="shared" si="8"/>
        <v>5780</v>
      </c>
      <c r="K102" s="487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4"/>
      <c r="CI102" s="454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4"/>
      <c r="CW102" s="454"/>
      <c r="CX102" s="454"/>
      <c r="CY102" s="454"/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4"/>
      <c r="DK102" s="454"/>
      <c r="DL102" s="454"/>
      <c r="DM102" s="454"/>
      <c r="DN102" s="454"/>
      <c r="DO102" s="454"/>
      <c r="DP102" s="454"/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/>
      <c r="EN102" s="454"/>
      <c r="EO102" s="454"/>
      <c r="EP102" s="454"/>
      <c r="EQ102" s="454"/>
      <c r="ER102" s="454"/>
      <c r="ES102" s="454"/>
      <c r="ET102" s="454"/>
      <c r="EU102" s="454"/>
      <c r="EV102" s="454"/>
      <c r="EW102" s="454"/>
      <c r="EX102" s="454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454"/>
      <c r="FL102" s="454"/>
      <c r="FM102" s="454"/>
      <c r="FN102" s="454"/>
      <c r="FO102" s="454"/>
      <c r="FP102" s="454"/>
      <c r="FQ102" s="454"/>
      <c r="FR102" s="454"/>
      <c r="FS102" s="454"/>
      <c r="FT102" s="454"/>
      <c r="FU102" s="454"/>
      <c r="FV102" s="454"/>
      <c r="FW102" s="454"/>
      <c r="FX102" s="454"/>
      <c r="FY102" s="454"/>
      <c r="FZ102" s="454"/>
      <c r="GA102" s="454"/>
      <c r="GB102" s="454"/>
      <c r="GC102" s="454"/>
      <c r="GD102" s="454"/>
      <c r="GE102" s="454"/>
      <c r="GF102" s="454"/>
      <c r="GG102" s="454"/>
      <c r="GH102" s="454"/>
      <c r="GI102" s="454"/>
      <c r="GJ102" s="454"/>
      <c r="GK102" s="454"/>
      <c r="GL102" s="454"/>
      <c r="GM102" s="454"/>
      <c r="GN102" s="454"/>
      <c r="GO102" s="454"/>
      <c r="GP102" s="454"/>
      <c r="GQ102" s="454"/>
      <c r="GR102" s="454"/>
      <c r="GS102" s="454"/>
      <c r="GT102" s="454"/>
      <c r="GU102" s="454"/>
      <c r="GV102" s="454"/>
      <c r="GW102" s="454"/>
      <c r="GX102" s="454"/>
      <c r="GY102" s="454"/>
      <c r="GZ102" s="454"/>
      <c r="HA102" s="454"/>
      <c r="HB102" s="454"/>
      <c r="HC102" s="454"/>
      <c r="HD102" s="454"/>
      <c r="HE102" s="454"/>
      <c r="HF102" s="454"/>
      <c r="HG102" s="454"/>
      <c r="HH102" s="454"/>
      <c r="HI102" s="454"/>
      <c r="HJ102" s="454"/>
      <c r="HK102" s="454"/>
      <c r="HL102" s="454"/>
      <c r="HM102" s="454"/>
      <c r="HN102" s="454"/>
      <c r="HO102" s="454"/>
      <c r="HP102" s="454"/>
      <c r="HQ102" s="454"/>
      <c r="HR102" s="454"/>
      <c r="HS102" s="454"/>
      <c r="HT102" s="454"/>
      <c r="HU102" s="454"/>
      <c r="HV102" s="454"/>
      <c r="HW102" s="454"/>
      <c r="HX102" s="454"/>
      <c r="HY102" s="454"/>
      <c r="HZ102" s="454"/>
      <c r="IA102" s="454"/>
      <c r="IB102" s="454"/>
      <c r="IC102" s="454"/>
      <c r="ID102" s="454"/>
      <c r="IE102" s="454"/>
      <c r="IF102" s="454"/>
      <c r="IG102" s="454"/>
      <c r="IH102" s="454"/>
      <c r="II102" s="454"/>
      <c r="IJ102" s="454"/>
      <c r="IK102" s="454"/>
      <c r="IL102" s="454"/>
      <c r="IM102" s="454"/>
      <c r="IN102" s="454"/>
      <c r="IO102" s="454"/>
      <c r="IP102" s="454"/>
      <c r="IQ102" s="454"/>
    </row>
    <row r="103" spans="2:251" x14ac:dyDescent="0.25">
      <c r="B103" s="460"/>
      <c r="C103" s="483" t="s">
        <v>632</v>
      </c>
      <c r="D103" s="462" t="s">
        <v>479</v>
      </c>
      <c r="E103" s="463">
        <v>2</v>
      </c>
      <c r="F103" s="464"/>
      <c r="G103" s="464">
        <f>F103*E103</f>
        <v>0</v>
      </c>
      <c r="H103" s="464">
        <v>12000</v>
      </c>
      <c r="I103" s="464">
        <f t="shared" si="7"/>
        <v>24000</v>
      </c>
      <c r="J103" s="464">
        <f t="shared" si="8"/>
        <v>24000</v>
      </c>
      <c r="K103" s="465"/>
    </row>
    <row r="104" spans="2:251" s="490" customFormat="1" x14ac:dyDescent="0.25">
      <c r="B104" s="488">
        <v>34</v>
      </c>
      <c r="C104" s="469" t="s">
        <v>701</v>
      </c>
      <c r="D104" s="464" t="s">
        <v>702</v>
      </c>
      <c r="E104" s="464">
        <v>2</v>
      </c>
      <c r="F104" s="464">
        <v>6000</v>
      </c>
      <c r="G104" s="464">
        <f>F104*E104</f>
        <v>12000</v>
      </c>
      <c r="H104" s="464">
        <v>1000</v>
      </c>
      <c r="I104" s="464">
        <f t="shared" si="7"/>
        <v>2000</v>
      </c>
      <c r="J104" s="464">
        <f t="shared" si="8"/>
        <v>14000</v>
      </c>
      <c r="K104" s="489"/>
    </row>
    <row r="105" spans="2:251" s="490" customFormat="1" x14ac:dyDescent="0.25">
      <c r="B105" s="488">
        <v>35</v>
      </c>
      <c r="C105" s="469" t="s">
        <v>703</v>
      </c>
      <c r="D105" s="464" t="s">
        <v>702</v>
      </c>
      <c r="E105" s="464">
        <v>2</v>
      </c>
      <c r="F105" s="464">
        <v>8000</v>
      </c>
      <c r="G105" s="464">
        <f>F105*E105</f>
        <v>16000</v>
      </c>
      <c r="H105" s="464"/>
      <c r="I105" s="464">
        <f t="shared" si="7"/>
        <v>0</v>
      </c>
      <c r="J105" s="464">
        <f t="shared" si="8"/>
        <v>16000</v>
      </c>
      <c r="K105" s="489"/>
    </row>
    <row r="106" spans="2:251" x14ac:dyDescent="0.25">
      <c r="B106" s="640" t="s">
        <v>635</v>
      </c>
      <c r="C106" s="640"/>
      <c r="D106" s="640"/>
      <c r="E106" s="640"/>
      <c r="F106" s="640"/>
      <c r="G106" s="640"/>
      <c r="H106" s="640"/>
      <c r="I106" s="640"/>
      <c r="J106" s="464">
        <f>SUM(G68:G105)</f>
        <v>274604.63750000001</v>
      </c>
      <c r="K106" s="465"/>
    </row>
    <row r="107" spans="2:251" x14ac:dyDescent="0.25">
      <c r="B107" s="640" t="s">
        <v>471</v>
      </c>
      <c r="C107" s="640"/>
      <c r="D107" s="640"/>
      <c r="E107" s="640"/>
      <c r="F107" s="640"/>
      <c r="G107" s="640"/>
      <c r="H107" s="640"/>
      <c r="I107" s="640"/>
      <c r="J107" s="464">
        <f>SUM(I68:I105)</f>
        <v>253664.375</v>
      </c>
      <c r="K107" s="465"/>
    </row>
    <row r="108" spans="2:251" x14ac:dyDescent="0.25">
      <c r="B108" s="460"/>
      <c r="C108" s="470" t="s">
        <v>248</v>
      </c>
      <c r="D108" s="462"/>
      <c r="E108" s="481">
        <v>0.08</v>
      </c>
      <c r="F108" s="464"/>
      <c r="G108" s="464"/>
      <c r="H108" s="464"/>
      <c r="I108" s="464"/>
      <c r="J108" s="464">
        <f>SUM(J106:J107)*$E108</f>
        <v>42261.521000000001</v>
      </c>
      <c r="K108" s="465"/>
    </row>
    <row r="109" spans="2:251" x14ac:dyDescent="0.25">
      <c r="B109" s="460"/>
      <c r="C109" s="470" t="s">
        <v>631</v>
      </c>
      <c r="D109" s="462"/>
      <c r="E109" s="481">
        <v>0.04</v>
      </c>
      <c r="F109" s="464"/>
      <c r="G109" s="464"/>
      <c r="H109" s="464"/>
      <c r="I109" s="464"/>
      <c r="J109" s="464">
        <f>SUM(J106:J108)*$E109</f>
        <v>22821.221339999996</v>
      </c>
      <c r="K109" s="465"/>
    </row>
    <row r="110" spans="2:251" x14ac:dyDescent="0.25">
      <c r="B110" s="460"/>
      <c r="C110" s="470" t="s">
        <v>629</v>
      </c>
      <c r="D110" s="462"/>
      <c r="E110" s="481">
        <v>0.02</v>
      </c>
      <c r="F110" s="464"/>
      <c r="G110" s="464"/>
      <c r="H110" s="464"/>
      <c r="I110" s="464"/>
      <c r="J110" s="464">
        <f>SUM(J106:J109)*$E110</f>
        <v>11867.035096799998</v>
      </c>
      <c r="K110" s="465"/>
    </row>
    <row r="111" spans="2:251" x14ac:dyDescent="0.25">
      <c r="B111" s="640" t="s">
        <v>705</v>
      </c>
      <c r="C111" s="640"/>
      <c r="D111" s="640"/>
      <c r="E111" s="640"/>
      <c r="F111" s="640"/>
      <c r="G111" s="640"/>
      <c r="H111" s="640"/>
      <c r="I111" s="640"/>
      <c r="J111" s="482">
        <f>SUM(J106:J110)</f>
        <v>605218.78993679991</v>
      </c>
      <c r="K111" s="465"/>
    </row>
    <row r="112" spans="2:251" x14ac:dyDescent="0.25">
      <c r="B112" s="648" t="s">
        <v>650</v>
      </c>
      <c r="C112" s="643" t="s">
        <v>0</v>
      </c>
      <c r="D112" s="643" t="s">
        <v>22</v>
      </c>
      <c r="E112" s="649" t="s">
        <v>184</v>
      </c>
      <c r="F112" s="644" t="s">
        <v>649</v>
      </c>
      <c r="G112" s="644"/>
      <c r="H112" s="642" t="s">
        <v>215</v>
      </c>
      <c r="I112" s="642"/>
      <c r="J112" s="642" t="s">
        <v>777</v>
      </c>
      <c r="K112" s="642" t="s">
        <v>182</v>
      </c>
    </row>
    <row r="113" spans="2:11" x14ac:dyDescent="0.25">
      <c r="B113" s="648"/>
      <c r="C113" s="643"/>
      <c r="D113" s="643"/>
      <c r="E113" s="649"/>
      <c r="F113" s="458" t="s">
        <v>476</v>
      </c>
      <c r="G113" s="458" t="s">
        <v>776</v>
      </c>
      <c r="H113" s="458" t="s">
        <v>476</v>
      </c>
      <c r="I113" s="458" t="s">
        <v>823</v>
      </c>
      <c r="J113" s="642"/>
      <c r="K113" s="642"/>
    </row>
    <row r="114" spans="2:11" x14ac:dyDescent="0.25">
      <c r="B114" s="653" t="s">
        <v>653</v>
      </c>
      <c r="C114" s="653"/>
      <c r="D114" s="653"/>
      <c r="E114" s="653"/>
      <c r="F114" s="653"/>
      <c r="G114" s="653"/>
      <c r="H114" s="653"/>
      <c r="I114" s="653"/>
      <c r="J114" s="653"/>
      <c r="K114" s="459"/>
    </row>
    <row r="115" spans="2:11" x14ac:dyDescent="0.25">
      <c r="B115" s="460">
        <v>36</v>
      </c>
      <c r="C115" s="469" t="s">
        <v>514</v>
      </c>
      <c r="D115" s="462" t="s">
        <v>23</v>
      </c>
      <c r="E115" s="491">
        <v>58.1</v>
      </c>
      <c r="F115" s="464">
        <v>600</v>
      </c>
      <c r="G115" s="464">
        <f t="shared" ref="G115:G122" si="9">F115*E115</f>
        <v>34860</v>
      </c>
      <c r="H115" s="464"/>
      <c r="I115" s="464">
        <f t="shared" ref="I115:I134" si="10">H115*E115</f>
        <v>0</v>
      </c>
      <c r="J115" s="464">
        <f t="shared" ref="J115:J134" si="11">G115+I115</f>
        <v>34860</v>
      </c>
      <c r="K115" s="465"/>
    </row>
    <row r="116" spans="2:11" x14ac:dyDescent="0.25">
      <c r="B116" s="460"/>
      <c r="C116" s="470" t="s">
        <v>694</v>
      </c>
      <c r="D116" s="462" t="s">
        <v>25</v>
      </c>
      <c r="E116" s="477">
        <f>6*0.195*0.195</f>
        <v>0.22814999999999999</v>
      </c>
      <c r="F116" s="464"/>
      <c r="G116" s="464">
        <f t="shared" si="9"/>
        <v>0</v>
      </c>
      <c r="H116" s="464">
        <v>25000</v>
      </c>
      <c r="I116" s="464">
        <f t="shared" si="10"/>
        <v>5703.75</v>
      </c>
      <c r="J116" s="464">
        <f t="shared" si="11"/>
        <v>5703.75</v>
      </c>
      <c r="K116" s="465"/>
    </row>
    <row r="117" spans="2:11" x14ac:dyDescent="0.25">
      <c r="B117" s="460"/>
      <c r="C117" s="470" t="s">
        <v>646</v>
      </c>
      <c r="D117" s="471" t="s">
        <v>25</v>
      </c>
      <c r="E117" s="477">
        <f>225*0.045*0.195</f>
        <v>1.974375</v>
      </c>
      <c r="F117" s="464"/>
      <c r="G117" s="464">
        <f t="shared" si="9"/>
        <v>0</v>
      </c>
      <c r="H117" s="464">
        <v>25000</v>
      </c>
      <c r="I117" s="464">
        <f t="shared" si="10"/>
        <v>49359.375</v>
      </c>
      <c r="J117" s="464">
        <f t="shared" si="11"/>
        <v>49359.375</v>
      </c>
      <c r="K117" s="465"/>
    </row>
    <row r="118" spans="2:11" x14ac:dyDescent="0.25">
      <c r="B118" s="460">
        <v>37</v>
      </c>
      <c r="C118" s="469" t="s">
        <v>515</v>
      </c>
      <c r="D118" s="462" t="s">
        <v>23</v>
      </c>
      <c r="E118" s="491">
        <f>E115</f>
        <v>58.1</v>
      </c>
      <c r="F118" s="464">
        <v>250</v>
      </c>
      <c r="G118" s="464">
        <f t="shared" si="9"/>
        <v>14525</v>
      </c>
      <c r="H118" s="464"/>
      <c r="I118" s="464">
        <f t="shared" si="10"/>
        <v>0</v>
      </c>
      <c r="J118" s="464">
        <f t="shared" si="11"/>
        <v>14525</v>
      </c>
      <c r="K118" s="465"/>
    </row>
    <row r="119" spans="2:11" x14ac:dyDescent="0.25">
      <c r="B119" s="460"/>
      <c r="C119" s="470" t="s">
        <v>695</v>
      </c>
      <c r="D119" s="462" t="s">
        <v>25</v>
      </c>
      <c r="E119" s="477">
        <f>E118/2*0.025*1.15</f>
        <v>0.83518749999999997</v>
      </c>
      <c r="F119" s="464"/>
      <c r="G119" s="464">
        <f t="shared" si="9"/>
        <v>0</v>
      </c>
      <c r="H119" s="464">
        <v>25000</v>
      </c>
      <c r="I119" s="464">
        <f t="shared" si="10"/>
        <v>20879.6875</v>
      </c>
      <c r="J119" s="464">
        <f t="shared" si="11"/>
        <v>20879.6875</v>
      </c>
      <c r="K119" s="465"/>
    </row>
    <row r="120" spans="2:11" x14ac:dyDescent="0.25">
      <c r="B120" s="460">
        <v>38</v>
      </c>
      <c r="C120" s="469" t="s">
        <v>688</v>
      </c>
      <c r="D120" s="462" t="s">
        <v>23</v>
      </c>
      <c r="E120" s="491">
        <f>E118</f>
        <v>58.1</v>
      </c>
      <c r="F120" s="464">
        <v>200</v>
      </c>
      <c r="G120" s="464">
        <f t="shared" si="9"/>
        <v>11620</v>
      </c>
      <c r="H120" s="464"/>
      <c r="I120" s="464">
        <f t="shared" si="10"/>
        <v>0</v>
      </c>
      <c r="J120" s="464">
        <f t="shared" si="11"/>
        <v>11620</v>
      </c>
      <c r="K120" s="465"/>
    </row>
    <row r="121" spans="2:11" ht="26.4" x14ac:dyDescent="0.25">
      <c r="B121" s="460"/>
      <c r="C121" s="470" t="s">
        <v>689</v>
      </c>
      <c r="D121" s="471" t="s">
        <v>344</v>
      </c>
      <c r="E121" s="474">
        <f>ROUNDUP(E120/6,)</f>
        <v>10</v>
      </c>
      <c r="F121" s="464"/>
      <c r="G121" s="464">
        <f t="shared" si="9"/>
        <v>0</v>
      </c>
      <c r="H121" s="464">
        <v>1070</v>
      </c>
      <c r="I121" s="464">
        <f t="shared" si="10"/>
        <v>10700</v>
      </c>
      <c r="J121" s="464">
        <f t="shared" si="11"/>
        <v>10700</v>
      </c>
      <c r="K121" s="465"/>
    </row>
    <row r="122" spans="2:11" x14ac:dyDescent="0.25">
      <c r="B122" s="460">
        <v>39</v>
      </c>
      <c r="C122" s="469" t="s">
        <v>753</v>
      </c>
      <c r="D122" s="462" t="s">
        <v>23</v>
      </c>
      <c r="E122" s="474">
        <f>E120*2</f>
        <v>116.2</v>
      </c>
      <c r="F122" s="464">
        <v>120</v>
      </c>
      <c r="G122" s="464">
        <f t="shared" si="9"/>
        <v>13944</v>
      </c>
      <c r="H122" s="464"/>
      <c r="I122" s="464">
        <f t="shared" si="10"/>
        <v>0</v>
      </c>
      <c r="J122" s="464">
        <f t="shared" si="11"/>
        <v>13944</v>
      </c>
      <c r="K122" s="465"/>
    </row>
    <row r="123" spans="2:11" x14ac:dyDescent="0.25">
      <c r="B123" s="460"/>
      <c r="C123" s="470" t="s">
        <v>752</v>
      </c>
      <c r="D123" s="462" t="s">
        <v>217</v>
      </c>
      <c r="E123" s="474">
        <f>ROUNDUP(E122*1.2/75,0)</f>
        <v>2</v>
      </c>
      <c r="F123" s="464"/>
      <c r="G123" s="464"/>
      <c r="H123" s="464">
        <v>10550</v>
      </c>
      <c r="I123" s="464">
        <f t="shared" si="10"/>
        <v>21100</v>
      </c>
      <c r="J123" s="464">
        <f t="shared" si="11"/>
        <v>21100</v>
      </c>
      <c r="K123" s="465"/>
    </row>
    <row r="124" spans="2:11" x14ac:dyDescent="0.25">
      <c r="B124" s="460"/>
      <c r="C124" s="483" t="s">
        <v>693</v>
      </c>
      <c r="D124" s="471" t="s">
        <v>217</v>
      </c>
      <c r="E124" s="463">
        <v>6</v>
      </c>
      <c r="F124" s="464"/>
      <c r="G124" s="464">
        <f t="shared" ref="G124:G130" si="12">F124*E124</f>
        <v>0</v>
      </c>
      <c r="H124" s="464">
        <v>1560</v>
      </c>
      <c r="I124" s="464">
        <f t="shared" si="10"/>
        <v>9360</v>
      </c>
      <c r="J124" s="464">
        <f t="shared" si="11"/>
        <v>9360</v>
      </c>
      <c r="K124" s="465"/>
    </row>
    <row r="125" spans="2:11" x14ac:dyDescent="0.25">
      <c r="B125" s="460">
        <v>40</v>
      </c>
      <c r="C125" s="469" t="s">
        <v>696</v>
      </c>
      <c r="D125" s="462" t="s">
        <v>23</v>
      </c>
      <c r="E125" s="491">
        <f>E120</f>
        <v>58.1</v>
      </c>
      <c r="F125" s="464">
        <v>250</v>
      </c>
      <c r="G125" s="464">
        <f t="shared" si="12"/>
        <v>14525</v>
      </c>
      <c r="H125" s="464"/>
      <c r="I125" s="464">
        <f t="shared" si="10"/>
        <v>0</v>
      </c>
      <c r="J125" s="464">
        <f t="shared" si="11"/>
        <v>14525</v>
      </c>
      <c r="K125" s="465"/>
    </row>
    <row r="126" spans="2:11" x14ac:dyDescent="0.25">
      <c r="B126" s="460"/>
      <c r="C126" s="470" t="s">
        <v>697</v>
      </c>
      <c r="D126" s="462" t="s">
        <v>25</v>
      </c>
      <c r="E126" s="472">
        <f>E125/2*0.02*1.15</f>
        <v>0.66815000000000002</v>
      </c>
      <c r="F126" s="464"/>
      <c r="G126" s="464">
        <f t="shared" si="12"/>
        <v>0</v>
      </c>
      <c r="H126" s="464">
        <v>25000</v>
      </c>
      <c r="I126" s="464">
        <f t="shared" si="10"/>
        <v>16703.75</v>
      </c>
      <c r="J126" s="464">
        <f t="shared" si="11"/>
        <v>16703.75</v>
      </c>
      <c r="K126" s="465"/>
    </row>
    <row r="127" spans="2:11" x14ac:dyDescent="0.25">
      <c r="B127" s="460">
        <v>41</v>
      </c>
      <c r="C127" s="469" t="s">
        <v>698</v>
      </c>
      <c r="D127" s="462" t="s">
        <v>23</v>
      </c>
      <c r="E127" s="491">
        <f>E125</f>
        <v>58.1</v>
      </c>
      <c r="F127" s="464">
        <v>400</v>
      </c>
      <c r="G127" s="464">
        <f t="shared" si="12"/>
        <v>23240</v>
      </c>
      <c r="H127" s="464"/>
      <c r="I127" s="464">
        <f t="shared" si="10"/>
        <v>0</v>
      </c>
      <c r="J127" s="464">
        <f t="shared" si="11"/>
        <v>23240</v>
      </c>
      <c r="K127" s="465"/>
    </row>
    <row r="128" spans="2:11" ht="26.4" x14ac:dyDescent="0.25">
      <c r="B128" s="460"/>
      <c r="C128" s="470" t="s">
        <v>699</v>
      </c>
      <c r="D128" s="462" t="s">
        <v>700</v>
      </c>
      <c r="E128" s="462">
        <f>ROUNDUP(E127*1.15/1.464,)</f>
        <v>46</v>
      </c>
      <c r="F128" s="464"/>
      <c r="G128" s="464">
        <f t="shared" si="12"/>
        <v>0</v>
      </c>
      <c r="H128" s="464">
        <v>910</v>
      </c>
      <c r="I128" s="464">
        <f t="shared" si="10"/>
        <v>41860</v>
      </c>
      <c r="J128" s="464">
        <f t="shared" si="11"/>
        <v>41860</v>
      </c>
      <c r="K128" s="465"/>
    </row>
    <row r="129" spans="2:251" s="486" customFormat="1" x14ac:dyDescent="0.25">
      <c r="B129" s="460">
        <v>42</v>
      </c>
      <c r="C129" s="469" t="s">
        <v>707</v>
      </c>
      <c r="D129" s="462" t="s">
        <v>10</v>
      </c>
      <c r="E129" s="463">
        <v>1</v>
      </c>
      <c r="F129" s="464">
        <v>5000</v>
      </c>
      <c r="G129" s="464">
        <f t="shared" si="12"/>
        <v>5000</v>
      </c>
      <c r="H129" s="464">
        <v>5000</v>
      </c>
      <c r="I129" s="464">
        <f t="shared" si="10"/>
        <v>5000</v>
      </c>
      <c r="J129" s="464">
        <f t="shared" si="11"/>
        <v>10000</v>
      </c>
      <c r="K129" s="465"/>
      <c r="L129" s="454"/>
      <c r="M129" s="454"/>
      <c r="N129" s="454"/>
      <c r="O129" s="454"/>
      <c r="P129" s="454"/>
      <c r="Q129" s="454"/>
      <c r="R129" s="454"/>
      <c r="S129" s="454"/>
      <c r="T129" s="454"/>
      <c r="U129" s="454"/>
      <c r="V129" s="454"/>
      <c r="W129" s="454"/>
      <c r="X129" s="454"/>
      <c r="Y129" s="454"/>
      <c r="Z129" s="454"/>
      <c r="AA129" s="454"/>
      <c r="AB129" s="454"/>
      <c r="AC129" s="454"/>
      <c r="AD129" s="454"/>
      <c r="AE129" s="454"/>
      <c r="AF129" s="454"/>
      <c r="AG129" s="454"/>
      <c r="AH129" s="454"/>
      <c r="AI129" s="454"/>
      <c r="AJ129" s="454"/>
      <c r="AK129" s="454"/>
      <c r="AL129" s="454"/>
      <c r="AM129" s="454"/>
      <c r="AN129" s="454"/>
      <c r="AO129" s="454"/>
      <c r="AP129" s="454"/>
      <c r="AQ129" s="454"/>
      <c r="AR129" s="454"/>
      <c r="AS129" s="454"/>
      <c r="AT129" s="454"/>
      <c r="AU129" s="454"/>
      <c r="AV129" s="454"/>
      <c r="AW129" s="454"/>
      <c r="AX129" s="454"/>
      <c r="AY129" s="454"/>
      <c r="AZ129" s="454"/>
      <c r="BA129" s="454"/>
      <c r="BB129" s="454"/>
      <c r="BC129" s="454"/>
      <c r="BD129" s="454"/>
      <c r="BE129" s="454"/>
      <c r="BF129" s="454"/>
      <c r="BG129" s="454"/>
      <c r="BH129" s="454"/>
      <c r="BI129" s="454"/>
      <c r="BJ129" s="454"/>
      <c r="BK129" s="454"/>
      <c r="BL129" s="454"/>
      <c r="BM129" s="454"/>
      <c r="BN129" s="454"/>
      <c r="BO129" s="454"/>
      <c r="BP129" s="454"/>
      <c r="BQ129" s="454"/>
      <c r="BR129" s="454"/>
      <c r="BS129" s="454"/>
      <c r="BT129" s="454"/>
      <c r="BU129" s="454"/>
      <c r="BV129" s="454"/>
      <c r="BW129" s="454"/>
      <c r="BX129" s="454"/>
      <c r="BY129" s="454"/>
      <c r="BZ129" s="454"/>
      <c r="CA129" s="454"/>
      <c r="CB129" s="454"/>
      <c r="CC129" s="454"/>
      <c r="CD129" s="454"/>
      <c r="CE129" s="454"/>
      <c r="CF129" s="454"/>
      <c r="CG129" s="454"/>
      <c r="CH129" s="454"/>
      <c r="CI129" s="454"/>
      <c r="CJ129" s="454"/>
      <c r="CK129" s="454"/>
      <c r="CL129" s="454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  <c r="CW129" s="454"/>
      <c r="CX129" s="454"/>
      <c r="CY129" s="454"/>
      <c r="CZ129" s="454"/>
      <c r="DA129" s="454"/>
      <c r="DB129" s="454"/>
      <c r="DC129" s="454"/>
      <c r="DD129" s="454"/>
      <c r="DE129" s="454"/>
      <c r="DF129" s="454"/>
      <c r="DG129" s="454"/>
      <c r="DH129" s="454"/>
      <c r="DI129" s="454"/>
      <c r="DJ129" s="454"/>
      <c r="DK129" s="454"/>
      <c r="DL129" s="454"/>
      <c r="DM129" s="454"/>
      <c r="DN129" s="454"/>
      <c r="DO129" s="454"/>
      <c r="DP129" s="454"/>
      <c r="DQ129" s="454"/>
      <c r="DR129" s="454"/>
      <c r="DS129" s="454"/>
      <c r="DT129" s="454"/>
      <c r="DU129" s="454"/>
      <c r="DV129" s="454"/>
      <c r="DW129" s="454"/>
      <c r="DX129" s="454"/>
      <c r="DY129" s="454"/>
      <c r="DZ129" s="454"/>
      <c r="EA129" s="454"/>
      <c r="EB129" s="454"/>
      <c r="EC129" s="454"/>
      <c r="ED129" s="454"/>
      <c r="EE129" s="454"/>
      <c r="EF129" s="454"/>
      <c r="EG129" s="454"/>
      <c r="EH129" s="454"/>
      <c r="EI129" s="454"/>
      <c r="EJ129" s="454"/>
      <c r="EK129" s="454"/>
      <c r="EL129" s="454"/>
      <c r="EM129" s="454"/>
      <c r="EN129" s="454"/>
      <c r="EO129" s="454"/>
      <c r="EP129" s="454"/>
      <c r="EQ129" s="454"/>
      <c r="ER129" s="454"/>
      <c r="ES129" s="454"/>
      <c r="ET129" s="454"/>
      <c r="EU129" s="454"/>
      <c r="EV129" s="454"/>
      <c r="EW129" s="454"/>
      <c r="EX129" s="454"/>
      <c r="EY129" s="454"/>
      <c r="EZ129" s="454"/>
      <c r="FA129" s="454"/>
      <c r="FB129" s="454"/>
      <c r="FC129" s="454"/>
      <c r="FD129" s="454"/>
      <c r="FE129" s="454"/>
      <c r="FF129" s="454"/>
      <c r="FG129" s="454"/>
      <c r="FH129" s="454"/>
      <c r="FI129" s="454"/>
      <c r="FJ129" s="454"/>
      <c r="FK129" s="454"/>
      <c r="FL129" s="454"/>
      <c r="FM129" s="454"/>
      <c r="FN129" s="454"/>
      <c r="FO129" s="454"/>
      <c r="FP129" s="454"/>
      <c r="FQ129" s="454"/>
      <c r="FR129" s="454"/>
      <c r="FS129" s="454"/>
      <c r="FT129" s="454"/>
      <c r="FU129" s="454"/>
      <c r="FV129" s="454"/>
      <c r="FW129" s="454"/>
      <c r="FX129" s="454"/>
      <c r="FY129" s="454"/>
      <c r="FZ129" s="454"/>
      <c r="GA129" s="454"/>
      <c r="GB129" s="454"/>
      <c r="GC129" s="454"/>
      <c r="GD129" s="454"/>
      <c r="GE129" s="454"/>
      <c r="GF129" s="454"/>
      <c r="GG129" s="454"/>
      <c r="GH129" s="454"/>
      <c r="GI129" s="454"/>
      <c r="GJ129" s="454"/>
      <c r="GK129" s="454"/>
      <c r="GL129" s="454"/>
      <c r="GM129" s="454"/>
      <c r="GN129" s="454"/>
      <c r="GO129" s="454"/>
      <c r="GP129" s="454"/>
      <c r="GQ129" s="454"/>
      <c r="GR129" s="454"/>
      <c r="GS129" s="454"/>
      <c r="GT129" s="454"/>
      <c r="GU129" s="454"/>
      <c r="GV129" s="454"/>
      <c r="GW129" s="454"/>
      <c r="GX129" s="454"/>
      <c r="GY129" s="454"/>
      <c r="GZ129" s="454"/>
      <c r="HA129" s="454"/>
      <c r="HB129" s="454"/>
      <c r="HC129" s="454"/>
      <c r="HD129" s="454"/>
      <c r="HE129" s="454"/>
      <c r="HF129" s="454"/>
      <c r="HG129" s="454"/>
      <c r="HH129" s="454"/>
      <c r="HI129" s="454"/>
      <c r="HJ129" s="454"/>
      <c r="HK129" s="454"/>
      <c r="HL129" s="454"/>
      <c r="HM129" s="454"/>
      <c r="HN129" s="454"/>
      <c r="HO129" s="454"/>
      <c r="HP129" s="454"/>
      <c r="HQ129" s="454"/>
      <c r="HR129" s="454"/>
      <c r="HS129" s="454"/>
      <c r="HT129" s="454"/>
      <c r="HU129" s="454"/>
      <c r="HV129" s="454"/>
      <c r="HW129" s="454"/>
      <c r="HX129" s="454"/>
      <c r="HY129" s="454"/>
      <c r="HZ129" s="454"/>
      <c r="IA129" s="454"/>
      <c r="IB129" s="454"/>
      <c r="IC129" s="454"/>
      <c r="ID129" s="454"/>
      <c r="IE129" s="454"/>
      <c r="IF129" s="454"/>
      <c r="IG129" s="454"/>
      <c r="IH129" s="454"/>
      <c r="II129" s="454"/>
      <c r="IJ129" s="454"/>
      <c r="IK129" s="454"/>
      <c r="IL129" s="454"/>
      <c r="IM129" s="454"/>
      <c r="IN129" s="454"/>
      <c r="IO129" s="454"/>
      <c r="IP129" s="454"/>
      <c r="IQ129" s="454"/>
    </row>
    <row r="130" spans="2:251" s="486" customFormat="1" x14ac:dyDescent="0.25">
      <c r="B130" s="460">
        <v>43</v>
      </c>
      <c r="C130" s="466" t="s">
        <v>772</v>
      </c>
      <c r="D130" s="471" t="s">
        <v>25</v>
      </c>
      <c r="E130" s="484">
        <f>E116+E117+E119+E126</f>
        <v>3.7058625000000003</v>
      </c>
      <c r="F130" s="485">
        <v>2500</v>
      </c>
      <c r="G130" s="464">
        <f t="shared" si="12"/>
        <v>9264.65625</v>
      </c>
      <c r="H130" s="485"/>
      <c r="I130" s="464">
        <f t="shared" si="10"/>
        <v>0</v>
      </c>
      <c r="J130" s="464">
        <f t="shared" si="11"/>
        <v>9264.65625</v>
      </c>
      <c r="K130" s="465"/>
      <c r="L130" s="454"/>
      <c r="M130" s="454"/>
      <c r="N130" s="454"/>
      <c r="O130" s="454"/>
      <c r="P130" s="454"/>
      <c r="Q130" s="454"/>
      <c r="R130" s="454"/>
      <c r="S130" s="454"/>
      <c r="T130" s="454"/>
      <c r="U130" s="454"/>
      <c r="V130" s="454"/>
      <c r="W130" s="454"/>
      <c r="X130" s="454"/>
      <c r="Y130" s="454"/>
      <c r="Z130" s="454"/>
      <c r="AA130" s="454"/>
      <c r="AB130" s="454"/>
      <c r="AC130" s="454"/>
      <c r="AD130" s="454"/>
      <c r="AE130" s="454"/>
      <c r="AF130" s="454"/>
      <c r="AG130" s="454"/>
      <c r="AH130" s="454"/>
      <c r="AI130" s="454"/>
      <c r="AJ130" s="454"/>
      <c r="AK130" s="454"/>
      <c r="AL130" s="454"/>
      <c r="AM130" s="454"/>
      <c r="AN130" s="454"/>
      <c r="AO130" s="454"/>
      <c r="AP130" s="454"/>
      <c r="AQ130" s="454"/>
      <c r="AR130" s="454"/>
      <c r="AS130" s="454"/>
      <c r="AT130" s="454"/>
      <c r="AU130" s="454"/>
      <c r="AV130" s="454"/>
      <c r="AW130" s="454"/>
      <c r="AX130" s="454"/>
      <c r="AY130" s="454"/>
      <c r="AZ130" s="454"/>
      <c r="BA130" s="454"/>
      <c r="BB130" s="454"/>
      <c r="BC130" s="454"/>
      <c r="BD130" s="454"/>
      <c r="BE130" s="454"/>
      <c r="BF130" s="454"/>
      <c r="BG130" s="454"/>
      <c r="BH130" s="454"/>
      <c r="BI130" s="454"/>
      <c r="BJ130" s="454"/>
      <c r="BK130" s="454"/>
      <c r="BL130" s="454"/>
      <c r="BM130" s="454"/>
      <c r="BN130" s="454"/>
      <c r="BO130" s="454"/>
      <c r="BP130" s="454"/>
      <c r="BQ130" s="454"/>
      <c r="BR130" s="454"/>
      <c r="BS130" s="454"/>
      <c r="BT130" s="454"/>
      <c r="BU130" s="454"/>
      <c r="BV130" s="454"/>
      <c r="BW130" s="454"/>
      <c r="BX130" s="454"/>
      <c r="BY130" s="454"/>
      <c r="BZ130" s="454"/>
      <c r="CA130" s="454"/>
      <c r="CB130" s="454"/>
      <c r="CC130" s="454"/>
      <c r="CD130" s="454"/>
      <c r="CE130" s="454"/>
      <c r="CF130" s="454"/>
      <c r="CG130" s="454"/>
      <c r="CH130" s="454"/>
      <c r="CI130" s="454"/>
      <c r="CJ130" s="454"/>
      <c r="CK130" s="454"/>
      <c r="CL130" s="454"/>
      <c r="CM130" s="454"/>
      <c r="CN130" s="454"/>
      <c r="CO130" s="454"/>
      <c r="CP130" s="454"/>
      <c r="CQ130" s="454"/>
      <c r="CR130" s="454"/>
      <c r="CS130" s="454"/>
      <c r="CT130" s="454"/>
      <c r="CU130" s="454"/>
      <c r="CV130" s="454"/>
      <c r="CW130" s="454"/>
      <c r="CX130" s="454"/>
      <c r="CY130" s="454"/>
      <c r="CZ130" s="454"/>
      <c r="DA130" s="454"/>
      <c r="DB130" s="454"/>
      <c r="DC130" s="454"/>
      <c r="DD130" s="454"/>
      <c r="DE130" s="454"/>
      <c r="DF130" s="454"/>
      <c r="DG130" s="454"/>
      <c r="DH130" s="454"/>
      <c r="DI130" s="454"/>
      <c r="DJ130" s="454"/>
      <c r="DK130" s="454"/>
      <c r="DL130" s="454"/>
      <c r="DM130" s="454"/>
      <c r="DN130" s="454"/>
      <c r="DO130" s="454"/>
      <c r="DP130" s="454"/>
      <c r="DQ130" s="454"/>
      <c r="DR130" s="454"/>
      <c r="DS130" s="454"/>
      <c r="DT130" s="454"/>
      <c r="DU130" s="454"/>
      <c r="DV130" s="454"/>
      <c r="DW130" s="454"/>
      <c r="DX130" s="454"/>
      <c r="DY130" s="454"/>
      <c r="DZ130" s="454"/>
      <c r="EA130" s="454"/>
      <c r="EB130" s="454"/>
      <c r="EC130" s="454"/>
      <c r="ED130" s="454"/>
      <c r="EE130" s="454"/>
      <c r="EF130" s="454"/>
      <c r="EG130" s="454"/>
      <c r="EH130" s="454"/>
      <c r="EI130" s="454"/>
      <c r="EJ130" s="454"/>
      <c r="EK130" s="454"/>
      <c r="EL130" s="454"/>
      <c r="EM130" s="454"/>
      <c r="EN130" s="454"/>
      <c r="EO130" s="454"/>
      <c r="EP130" s="454"/>
      <c r="EQ130" s="454"/>
      <c r="ER130" s="454"/>
      <c r="ES130" s="454"/>
      <c r="ET130" s="454"/>
      <c r="EU130" s="454"/>
      <c r="EV130" s="454"/>
      <c r="EW130" s="454"/>
      <c r="EX130" s="454"/>
      <c r="EY130" s="454"/>
      <c r="EZ130" s="454"/>
      <c r="FA130" s="454"/>
      <c r="FB130" s="454"/>
      <c r="FC130" s="454"/>
      <c r="FD130" s="454"/>
      <c r="FE130" s="454"/>
      <c r="FF130" s="454"/>
      <c r="FG130" s="454"/>
      <c r="FH130" s="454"/>
      <c r="FI130" s="454"/>
      <c r="FJ130" s="454"/>
      <c r="FK130" s="454"/>
      <c r="FL130" s="454"/>
      <c r="FM130" s="454"/>
      <c r="FN130" s="454"/>
      <c r="FO130" s="454"/>
      <c r="FP130" s="454"/>
      <c r="FQ130" s="454"/>
      <c r="FR130" s="454"/>
      <c r="FS130" s="454"/>
      <c r="FT130" s="454"/>
      <c r="FU130" s="454"/>
      <c r="FV130" s="454"/>
      <c r="FW130" s="454"/>
      <c r="FX130" s="454"/>
      <c r="FY130" s="454"/>
      <c r="FZ130" s="454"/>
      <c r="GA130" s="454"/>
      <c r="GB130" s="454"/>
      <c r="GC130" s="454"/>
      <c r="GD130" s="454"/>
      <c r="GE130" s="454"/>
      <c r="GF130" s="454"/>
      <c r="GG130" s="454"/>
      <c r="GH130" s="454"/>
      <c r="GI130" s="454"/>
      <c r="GJ130" s="454"/>
      <c r="GK130" s="454"/>
      <c r="GL130" s="454"/>
      <c r="GM130" s="454"/>
      <c r="GN130" s="454"/>
      <c r="GO130" s="454"/>
      <c r="GP130" s="454"/>
      <c r="GQ130" s="454"/>
      <c r="GR130" s="454"/>
      <c r="GS130" s="454"/>
      <c r="GT130" s="454"/>
      <c r="GU130" s="454"/>
      <c r="GV130" s="454"/>
      <c r="GW130" s="454"/>
      <c r="GX130" s="454"/>
      <c r="GY130" s="454"/>
      <c r="GZ130" s="454"/>
      <c r="HA130" s="454"/>
      <c r="HB130" s="454"/>
      <c r="HC130" s="454"/>
      <c r="HD130" s="454"/>
      <c r="HE130" s="454"/>
      <c r="HF130" s="454"/>
      <c r="HG130" s="454"/>
      <c r="HH130" s="454"/>
      <c r="HI130" s="454"/>
      <c r="HJ130" s="454"/>
      <c r="HK130" s="454"/>
      <c r="HL130" s="454"/>
      <c r="HM130" s="454"/>
      <c r="HN130" s="454"/>
      <c r="HO130" s="454"/>
      <c r="HP130" s="454"/>
      <c r="HQ130" s="454"/>
      <c r="HR130" s="454"/>
      <c r="HS130" s="454"/>
      <c r="HT130" s="454"/>
      <c r="HU130" s="454"/>
      <c r="HV130" s="454"/>
      <c r="HW130" s="454"/>
      <c r="HX130" s="454"/>
      <c r="HY130" s="454"/>
      <c r="HZ130" s="454"/>
      <c r="IA130" s="454"/>
      <c r="IB130" s="454"/>
      <c r="IC130" s="454"/>
      <c r="ID130" s="454"/>
      <c r="IE130" s="454"/>
      <c r="IF130" s="454"/>
      <c r="IG130" s="454"/>
      <c r="IH130" s="454"/>
      <c r="II130" s="454"/>
      <c r="IJ130" s="454"/>
      <c r="IK130" s="454"/>
      <c r="IL130" s="454"/>
      <c r="IM130" s="454"/>
      <c r="IN130" s="454"/>
      <c r="IO130" s="454"/>
      <c r="IP130" s="454"/>
      <c r="IQ130" s="454"/>
    </row>
    <row r="131" spans="2:251" s="486" customFormat="1" ht="26.4" x14ac:dyDescent="0.25">
      <c r="B131" s="460"/>
      <c r="C131" s="483" t="s">
        <v>770</v>
      </c>
      <c r="D131" s="471" t="s">
        <v>344</v>
      </c>
      <c r="E131" s="484">
        <f>ROUNDUP(270*0.3/50,0)</f>
        <v>2</v>
      </c>
      <c r="F131" s="485"/>
      <c r="G131" s="464"/>
      <c r="H131" s="485">
        <v>2870</v>
      </c>
      <c r="I131" s="464">
        <f t="shared" si="10"/>
        <v>5740</v>
      </c>
      <c r="J131" s="464">
        <f t="shared" si="11"/>
        <v>5740</v>
      </c>
      <c r="K131" s="487"/>
      <c r="L131" s="454"/>
      <c r="M131" s="454"/>
      <c r="N131" s="454"/>
      <c r="O131" s="454"/>
      <c r="P131" s="454"/>
      <c r="Q131" s="454"/>
      <c r="R131" s="454"/>
      <c r="S131" s="454"/>
      <c r="T131" s="454"/>
      <c r="U131" s="454"/>
      <c r="V131" s="454"/>
      <c r="W131" s="454"/>
      <c r="X131" s="454"/>
      <c r="Y131" s="454"/>
      <c r="Z131" s="454"/>
      <c r="AA131" s="454"/>
      <c r="AB131" s="454"/>
      <c r="AC131" s="454"/>
      <c r="AD131" s="454"/>
      <c r="AE131" s="454"/>
      <c r="AF131" s="454"/>
      <c r="AG131" s="454"/>
      <c r="AH131" s="454"/>
      <c r="AI131" s="454"/>
      <c r="AJ131" s="454"/>
      <c r="AK131" s="454"/>
      <c r="AL131" s="454"/>
      <c r="AM131" s="454"/>
      <c r="AN131" s="454"/>
      <c r="AO131" s="454"/>
      <c r="AP131" s="454"/>
      <c r="AQ131" s="454"/>
      <c r="AR131" s="454"/>
      <c r="AS131" s="454"/>
      <c r="AT131" s="454"/>
      <c r="AU131" s="454"/>
      <c r="AV131" s="454"/>
      <c r="AW131" s="454"/>
      <c r="AX131" s="454"/>
      <c r="AY131" s="454"/>
      <c r="AZ131" s="454"/>
      <c r="BA131" s="454"/>
      <c r="BB131" s="454"/>
      <c r="BC131" s="454"/>
      <c r="BD131" s="454"/>
      <c r="BE131" s="454"/>
      <c r="BF131" s="454"/>
      <c r="BG131" s="454"/>
      <c r="BH131" s="454"/>
      <c r="BI131" s="454"/>
      <c r="BJ131" s="454"/>
      <c r="BK131" s="454"/>
      <c r="BL131" s="454"/>
      <c r="BM131" s="454"/>
      <c r="BN131" s="454"/>
      <c r="BO131" s="454"/>
      <c r="BP131" s="454"/>
      <c r="BQ131" s="454"/>
      <c r="BR131" s="454"/>
      <c r="BS131" s="454"/>
      <c r="BT131" s="454"/>
      <c r="BU131" s="454"/>
      <c r="BV131" s="454"/>
      <c r="BW131" s="454"/>
      <c r="BX131" s="454"/>
      <c r="BY131" s="454"/>
      <c r="BZ131" s="454"/>
      <c r="CA131" s="454"/>
      <c r="CB131" s="454"/>
      <c r="CC131" s="454"/>
      <c r="CD131" s="454"/>
      <c r="CE131" s="454"/>
      <c r="CF131" s="454"/>
      <c r="CG131" s="454"/>
      <c r="CH131" s="454"/>
      <c r="CI131" s="454"/>
      <c r="CJ131" s="454"/>
      <c r="CK131" s="454"/>
      <c r="CL131" s="454"/>
      <c r="CM131" s="454"/>
      <c r="CN131" s="454"/>
      <c r="CO131" s="454"/>
      <c r="CP131" s="454"/>
      <c r="CQ131" s="454"/>
      <c r="CR131" s="454"/>
      <c r="CS131" s="454"/>
      <c r="CT131" s="454"/>
      <c r="CU131" s="454"/>
      <c r="CV131" s="454"/>
      <c r="CW131" s="454"/>
      <c r="CX131" s="454"/>
      <c r="CY131" s="454"/>
      <c r="CZ131" s="454"/>
      <c r="DA131" s="454"/>
      <c r="DB131" s="454"/>
      <c r="DC131" s="454"/>
      <c r="DD131" s="454"/>
      <c r="DE131" s="454"/>
      <c r="DF131" s="454"/>
      <c r="DG131" s="454"/>
      <c r="DH131" s="454"/>
      <c r="DI131" s="454"/>
      <c r="DJ131" s="454"/>
      <c r="DK131" s="454"/>
      <c r="DL131" s="454"/>
      <c r="DM131" s="454"/>
      <c r="DN131" s="454"/>
      <c r="DO131" s="454"/>
      <c r="DP131" s="454"/>
      <c r="DQ131" s="454"/>
      <c r="DR131" s="454"/>
      <c r="DS131" s="454"/>
      <c r="DT131" s="454"/>
      <c r="DU131" s="454"/>
      <c r="DV131" s="454"/>
      <c r="DW131" s="454"/>
      <c r="DX131" s="454"/>
      <c r="DY131" s="454"/>
      <c r="DZ131" s="454"/>
      <c r="EA131" s="454"/>
      <c r="EB131" s="454"/>
      <c r="EC131" s="454"/>
      <c r="ED131" s="454"/>
      <c r="EE131" s="454"/>
      <c r="EF131" s="454"/>
      <c r="EG131" s="454"/>
      <c r="EH131" s="454"/>
      <c r="EI131" s="454"/>
      <c r="EJ131" s="454"/>
      <c r="EK131" s="454"/>
      <c r="EL131" s="454"/>
      <c r="EM131" s="454"/>
      <c r="EN131" s="454"/>
      <c r="EO131" s="454"/>
      <c r="EP131" s="454"/>
      <c r="EQ131" s="454"/>
      <c r="ER131" s="454"/>
      <c r="ES131" s="454"/>
      <c r="ET131" s="454"/>
      <c r="EU131" s="454"/>
      <c r="EV131" s="454"/>
      <c r="EW131" s="454"/>
      <c r="EX131" s="454"/>
      <c r="EY131" s="454"/>
      <c r="EZ131" s="454"/>
      <c r="FA131" s="454"/>
      <c r="FB131" s="454"/>
      <c r="FC131" s="454"/>
      <c r="FD131" s="454"/>
      <c r="FE131" s="454"/>
      <c r="FF131" s="454"/>
      <c r="FG131" s="454"/>
      <c r="FH131" s="454"/>
      <c r="FI131" s="454"/>
      <c r="FJ131" s="454"/>
      <c r="FK131" s="454"/>
      <c r="FL131" s="454"/>
      <c r="FM131" s="454"/>
      <c r="FN131" s="454"/>
      <c r="FO131" s="454"/>
      <c r="FP131" s="454"/>
      <c r="FQ131" s="454"/>
      <c r="FR131" s="454"/>
      <c r="FS131" s="454"/>
      <c r="FT131" s="454"/>
      <c r="FU131" s="454"/>
      <c r="FV131" s="454"/>
      <c r="FW131" s="454"/>
      <c r="FX131" s="454"/>
      <c r="FY131" s="454"/>
      <c r="FZ131" s="454"/>
      <c r="GA131" s="454"/>
      <c r="GB131" s="454"/>
      <c r="GC131" s="454"/>
      <c r="GD131" s="454"/>
      <c r="GE131" s="454"/>
      <c r="GF131" s="454"/>
      <c r="GG131" s="454"/>
      <c r="GH131" s="454"/>
      <c r="GI131" s="454"/>
      <c r="GJ131" s="454"/>
      <c r="GK131" s="454"/>
      <c r="GL131" s="454"/>
      <c r="GM131" s="454"/>
      <c r="GN131" s="454"/>
      <c r="GO131" s="454"/>
      <c r="GP131" s="454"/>
      <c r="GQ131" s="454"/>
      <c r="GR131" s="454"/>
      <c r="GS131" s="454"/>
      <c r="GT131" s="454"/>
      <c r="GU131" s="454"/>
      <c r="GV131" s="454"/>
      <c r="GW131" s="454"/>
      <c r="GX131" s="454"/>
      <c r="GY131" s="454"/>
      <c r="GZ131" s="454"/>
      <c r="HA131" s="454"/>
      <c r="HB131" s="454"/>
      <c r="HC131" s="454"/>
      <c r="HD131" s="454"/>
      <c r="HE131" s="454"/>
      <c r="HF131" s="454"/>
      <c r="HG131" s="454"/>
      <c r="HH131" s="454"/>
      <c r="HI131" s="454"/>
      <c r="HJ131" s="454"/>
      <c r="HK131" s="454"/>
      <c r="HL131" s="454"/>
      <c r="HM131" s="454"/>
      <c r="HN131" s="454"/>
      <c r="HO131" s="454"/>
      <c r="HP131" s="454"/>
      <c r="HQ131" s="454"/>
      <c r="HR131" s="454"/>
      <c r="HS131" s="454"/>
      <c r="HT131" s="454"/>
      <c r="HU131" s="454"/>
      <c r="HV131" s="454"/>
      <c r="HW131" s="454"/>
      <c r="HX131" s="454"/>
      <c r="HY131" s="454"/>
      <c r="HZ131" s="454"/>
      <c r="IA131" s="454"/>
      <c r="IB131" s="454"/>
      <c r="IC131" s="454"/>
      <c r="ID131" s="454"/>
      <c r="IE131" s="454"/>
      <c r="IF131" s="454"/>
      <c r="IG131" s="454"/>
      <c r="IH131" s="454"/>
      <c r="II131" s="454"/>
      <c r="IJ131" s="454"/>
      <c r="IK131" s="454"/>
      <c r="IL131" s="454"/>
      <c r="IM131" s="454"/>
      <c r="IN131" s="454"/>
      <c r="IO131" s="454"/>
      <c r="IP131" s="454"/>
      <c r="IQ131" s="454"/>
    </row>
    <row r="132" spans="2:251" s="490" customFormat="1" x14ac:dyDescent="0.25">
      <c r="B132" s="488">
        <v>44</v>
      </c>
      <c r="C132" s="469" t="s">
        <v>701</v>
      </c>
      <c r="D132" s="464" t="s">
        <v>702</v>
      </c>
      <c r="E132" s="464">
        <v>1</v>
      </c>
      <c r="F132" s="464">
        <v>6000</v>
      </c>
      <c r="G132" s="464">
        <f>F132*E132</f>
        <v>6000</v>
      </c>
      <c r="H132" s="464">
        <v>500</v>
      </c>
      <c r="I132" s="464">
        <f t="shared" si="10"/>
        <v>500</v>
      </c>
      <c r="J132" s="464">
        <f t="shared" si="11"/>
        <v>6500</v>
      </c>
      <c r="K132" s="489"/>
    </row>
    <row r="133" spans="2:251" s="490" customFormat="1" x14ac:dyDescent="0.25">
      <c r="B133" s="488">
        <v>45</v>
      </c>
      <c r="C133" s="469" t="s">
        <v>703</v>
      </c>
      <c r="D133" s="464" t="s">
        <v>702</v>
      </c>
      <c r="E133" s="464">
        <v>1</v>
      </c>
      <c r="F133" s="464">
        <v>8000</v>
      </c>
      <c r="G133" s="464">
        <f>F133*E133</f>
        <v>8000</v>
      </c>
      <c r="H133" s="464"/>
      <c r="I133" s="464">
        <f t="shared" si="10"/>
        <v>0</v>
      </c>
      <c r="J133" s="464">
        <f t="shared" si="11"/>
        <v>8000</v>
      </c>
      <c r="K133" s="489"/>
    </row>
    <row r="134" spans="2:251" x14ac:dyDescent="0.25">
      <c r="B134" s="460"/>
      <c r="C134" s="483" t="s">
        <v>632</v>
      </c>
      <c r="D134" s="484" t="s">
        <v>479</v>
      </c>
      <c r="E134" s="463">
        <v>2</v>
      </c>
      <c r="F134" s="464"/>
      <c r="G134" s="464">
        <f>F134*E134</f>
        <v>0</v>
      </c>
      <c r="H134" s="464">
        <v>12000</v>
      </c>
      <c r="I134" s="464">
        <f t="shared" si="10"/>
        <v>24000</v>
      </c>
      <c r="J134" s="464">
        <f t="shared" si="11"/>
        <v>24000</v>
      </c>
      <c r="K134" s="465"/>
    </row>
    <row r="135" spans="2:251" x14ac:dyDescent="0.25">
      <c r="B135" s="640" t="s">
        <v>635</v>
      </c>
      <c r="C135" s="640"/>
      <c r="D135" s="640"/>
      <c r="E135" s="640"/>
      <c r="F135" s="640"/>
      <c r="G135" s="640"/>
      <c r="H135" s="640"/>
      <c r="I135" s="640"/>
      <c r="J135" s="464">
        <f>SUM(G115:G134)</f>
        <v>140978.65625</v>
      </c>
      <c r="K135" s="465"/>
    </row>
    <row r="136" spans="2:251" x14ac:dyDescent="0.25">
      <c r="B136" s="640" t="s">
        <v>471</v>
      </c>
      <c r="C136" s="640"/>
      <c r="D136" s="640"/>
      <c r="E136" s="640"/>
      <c r="F136" s="640"/>
      <c r="G136" s="640"/>
      <c r="H136" s="640"/>
      <c r="I136" s="640"/>
      <c r="J136" s="464">
        <f>SUM(I115:I134)</f>
        <v>210906.5625</v>
      </c>
      <c r="K136" s="465"/>
    </row>
    <row r="137" spans="2:251" x14ac:dyDescent="0.25">
      <c r="B137" s="460"/>
      <c r="C137" s="470" t="s">
        <v>248</v>
      </c>
      <c r="D137" s="462"/>
      <c r="E137" s="481">
        <v>0.08</v>
      </c>
      <c r="F137" s="464"/>
      <c r="G137" s="464"/>
      <c r="H137" s="464"/>
      <c r="I137" s="464"/>
      <c r="J137" s="464">
        <f>SUM(I68:I134)*$E137</f>
        <v>37165.675000000003</v>
      </c>
      <c r="K137" s="465"/>
    </row>
    <row r="138" spans="2:251" x14ac:dyDescent="0.25">
      <c r="B138" s="460"/>
      <c r="C138" s="470" t="s">
        <v>631</v>
      </c>
      <c r="D138" s="462"/>
      <c r="E138" s="481">
        <v>0.03</v>
      </c>
      <c r="F138" s="464"/>
      <c r="G138" s="464"/>
      <c r="H138" s="464"/>
      <c r="I138" s="464"/>
      <c r="J138" s="464">
        <f>SUM(J135:J137)*$E138</f>
        <v>11671.526812499998</v>
      </c>
      <c r="K138" s="465"/>
    </row>
    <row r="139" spans="2:251" x14ac:dyDescent="0.25">
      <c r="B139" s="460"/>
      <c r="C139" s="470" t="s">
        <v>629</v>
      </c>
      <c r="D139" s="462"/>
      <c r="E139" s="481">
        <v>0.02</v>
      </c>
      <c r="F139" s="464"/>
      <c r="G139" s="464"/>
      <c r="H139" s="464"/>
      <c r="I139" s="464"/>
      <c r="J139" s="464">
        <f>SUM(J135:J138)*$E139</f>
        <v>8014.4484112499995</v>
      </c>
      <c r="K139" s="465"/>
    </row>
    <row r="140" spans="2:251" x14ac:dyDescent="0.25">
      <c r="B140" s="640" t="s">
        <v>722</v>
      </c>
      <c r="C140" s="640"/>
      <c r="D140" s="640"/>
      <c r="E140" s="640"/>
      <c r="F140" s="640"/>
      <c r="G140" s="640"/>
      <c r="H140" s="640"/>
      <c r="I140" s="640"/>
      <c r="J140" s="482">
        <f>SUM(J135:J139)</f>
        <v>408736.86897374998</v>
      </c>
      <c r="K140" s="465"/>
    </row>
    <row r="141" spans="2:251" x14ac:dyDescent="0.25">
      <c r="B141" s="648" t="s">
        <v>650</v>
      </c>
      <c r="C141" s="643" t="s">
        <v>0</v>
      </c>
      <c r="D141" s="643" t="s">
        <v>22</v>
      </c>
      <c r="E141" s="649" t="s">
        <v>184</v>
      </c>
      <c r="F141" s="644" t="s">
        <v>649</v>
      </c>
      <c r="G141" s="644"/>
      <c r="H141" s="642" t="s">
        <v>215</v>
      </c>
      <c r="I141" s="642"/>
      <c r="J141" s="642" t="s">
        <v>777</v>
      </c>
      <c r="K141" s="642" t="s">
        <v>182</v>
      </c>
    </row>
    <row r="142" spans="2:251" x14ac:dyDescent="0.25">
      <c r="B142" s="648"/>
      <c r="C142" s="643"/>
      <c r="D142" s="643"/>
      <c r="E142" s="649"/>
      <c r="F142" s="458" t="s">
        <v>476</v>
      </c>
      <c r="G142" s="458" t="s">
        <v>776</v>
      </c>
      <c r="H142" s="458" t="s">
        <v>476</v>
      </c>
      <c r="I142" s="458" t="s">
        <v>823</v>
      </c>
      <c r="J142" s="642"/>
      <c r="K142" s="642"/>
    </row>
    <row r="143" spans="2:251" x14ac:dyDescent="0.25">
      <c r="B143" s="653" t="s">
        <v>661</v>
      </c>
      <c r="C143" s="653"/>
      <c r="D143" s="653"/>
      <c r="E143" s="653"/>
      <c r="F143" s="653"/>
      <c r="G143" s="653"/>
      <c r="H143" s="653"/>
      <c r="I143" s="653"/>
      <c r="J143" s="653"/>
      <c r="K143" s="459"/>
    </row>
    <row r="144" spans="2:251" x14ac:dyDescent="0.25">
      <c r="B144" s="460">
        <v>46</v>
      </c>
      <c r="C144" s="469" t="s">
        <v>662</v>
      </c>
      <c r="D144" s="462" t="s">
        <v>23</v>
      </c>
      <c r="E144" s="474">
        <v>58.6</v>
      </c>
      <c r="F144" s="464">
        <v>800</v>
      </c>
      <c r="G144" s="464">
        <f t="shared" ref="G144:G168" si="13">F144*E144</f>
        <v>46880</v>
      </c>
      <c r="H144" s="464"/>
      <c r="I144" s="464">
        <f t="shared" ref="I144:I170" si="14">H144*E144</f>
        <v>0</v>
      </c>
      <c r="J144" s="464">
        <f t="shared" ref="J144:J154" si="15">G144+I144</f>
        <v>46880</v>
      </c>
      <c r="K144" s="465"/>
    </row>
    <row r="145" spans="2:11" x14ac:dyDescent="0.25">
      <c r="B145" s="460"/>
      <c r="C145" s="470" t="s">
        <v>679</v>
      </c>
      <c r="D145" s="462" t="s">
        <v>25</v>
      </c>
      <c r="E145" s="477">
        <f>(66+57+66+15+9+48+9+15)*0.045*0.145</f>
        <v>1.8596249999999999</v>
      </c>
      <c r="F145" s="464"/>
      <c r="G145" s="464">
        <f t="shared" si="13"/>
        <v>0</v>
      </c>
      <c r="H145" s="464">
        <v>25000</v>
      </c>
      <c r="I145" s="464">
        <f t="shared" si="14"/>
        <v>46490.625</v>
      </c>
      <c r="J145" s="464">
        <f t="shared" si="15"/>
        <v>46490.625</v>
      </c>
      <c r="K145" s="465"/>
    </row>
    <row r="146" spans="2:11" x14ac:dyDescent="0.25">
      <c r="B146" s="460"/>
      <c r="C146" s="470" t="s">
        <v>646</v>
      </c>
      <c r="D146" s="462" t="s">
        <v>25</v>
      </c>
      <c r="E146" s="477">
        <f>(15+3+3+6+3+3)*0.045*0.195</f>
        <v>0.28957499999999997</v>
      </c>
      <c r="F146" s="464"/>
      <c r="G146" s="464">
        <f t="shared" si="13"/>
        <v>0</v>
      </c>
      <c r="H146" s="464">
        <v>25000</v>
      </c>
      <c r="I146" s="464">
        <f t="shared" si="14"/>
        <v>7239.3749999999991</v>
      </c>
      <c r="J146" s="464">
        <f t="shared" si="15"/>
        <v>7239.3749999999991</v>
      </c>
      <c r="K146" s="465"/>
    </row>
    <row r="147" spans="2:11" x14ac:dyDescent="0.25">
      <c r="B147" s="460"/>
      <c r="C147" s="470" t="s">
        <v>680</v>
      </c>
      <c r="D147" s="462" t="s">
        <v>25</v>
      </c>
      <c r="E147" s="477">
        <f>(6+6+6+3+3)*0.025*0.095</f>
        <v>5.7000000000000009E-2</v>
      </c>
      <c r="F147" s="464"/>
      <c r="G147" s="464">
        <f t="shared" si="13"/>
        <v>0</v>
      </c>
      <c r="H147" s="464">
        <v>25000</v>
      </c>
      <c r="I147" s="464">
        <f t="shared" si="14"/>
        <v>1425.0000000000002</v>
      </c>
      <c r="J147" s="464">
        <f t="shared" si="15"/>
        <v>1425.0000000000002</v>
      </c>
      <c r="K147" s="465"/>
    </row>
    <row r="148" spans="2:11" x14ac:dyDescent="0.25">
      <c r="B148" s="460">
        <v>47</v>
      </c>
      <c r="C148" s="469" t="s">
        <v>657</v>
      </c>
      <c r="D148" s="471" t="s">
        <v>23</v>
      </c>
      <c r="E148" s="474">
        <f>E144-13</f>
        <v>45.6</v>
      </c>
      <c r="F148" s="464">
        <v>300</v>
      </c>
      <c r="G148" s="464">
        <f t="shared" si="13"/>
        <v>13680</v>
      </c>
      <c r="H148" s="464"/>
      <c r="I148" s="464">
        <f t="shared" si="14"/>
        <v>0</v>
      </c>
      <c r="J148" s="464">
        <f t="shared" si="15"/>
        <v>13680</v>
      </c>
      <c r="K148" s="465"/>
    </row>
    <row r="149" spans="2:11" ht="26.4" x14ac:dyDescent="0.25">
      <c r="B149" s="460"/>
      <c r="C149" s="470" t="s">
        <v>682</v>
      </c>
      <c r="D149" s="471" t="s">
        <v>344</v>
      </c>
      <c r="E149" s="474">
        <f>ROUND(E148/6,0)</f>
        <v>8</v>
      </c>
      <c r="F149" s="464"/>
      <c r="G149" s="464">
        <f t="shared" si="13"/>
        <v>0</v>
      </c>
      <c r="H149" s="464">
        <v>1150</v>
      </c>
      <c r="I149" s="464">
        <f t="shared" si="14"/>
        <v>9200</v>
      </c>
      <c r="J149" s="464">
        <f t="shared" si="15"/>
        <v>9200</v>
      </c>
      <c r="K149" s="465"/>
    </row>
    <row r="150" spans="2:11" ht="26.4" x14ac:dyDescent="0.25">
      <c r="B150" s="460"/>
      <c r="C150" s="470" t="s">
        <v>683</v>
      </c>
      <c r="D150" s="471" t="s">
        <v>344</v>
      </c>
      <c r="E150" s="474">
        <f>ROUND(E148/12,)</f>
        <v>4</v>
      </c>
      <c r="F150" s="464"/>
      <c r="G150" s="464">
        <f t="shared" si="13"/>
        <v>0</v>
      </c>
      <c r="H150" s="464">
        <v>1150</v>
      </c>
      <c r="I150" s="464">
        <f t="shared" si="14"/>
        <v>4600</v>
      </c>
      <c r="J150" s="464">
        <f t="shared" si="15"/>
        <v>4600</v>
      </c>
      <c r="K150" s="465"/>
    </row>
    <row r="151" spans="2:11" x14ac:dyDescent="0.25">
      <c r="B151" s="460">
        <v>48</v>
      </c>
      <c r="C151" s="469" t="s">
        <v>658</v>
      </c>
      <c r="D151" s="471" t="s">
        <v>23</v>
      </c>
      <c r="E151" s="474">
        <f>E148</f>
        <v>45.6</v>
      </c>
      <c r="F151" s="464">
        <v>180</v>
      </c>
      <c r="G151" s="464">
        <f t="shared" si="13"/>
        <v>8208</v>
      </c>
      <c r="H151" s="464"/>
      <c r="I151" s="464">
        <f t="shared" si="14"/>
        <v>0</v>
      </c>
      <c r="J151" s="464">
        <f t="shared" si="15"/>
        <v>8208</v>
      </c>
      <c r="K151" s="465"/>
    </row>
    <row r="152" spans="2:11" x14ac:dyDescent="0.25">
      <c r="B152" s="460"/>
      <c r="C152" s="470" t="s">
        <v>684</v>
      </c>
      <c r="D152" s="471" t="s">
        <v>25</v>
      </c>
      <c r="E152" s="474">
        <v>0.32</v>
      </c>
      <c r="F152" s="464"/>
      <c r="G152" s="464">
        <f t="shared" si="13"/>
        <v>0</v>
      </c>
      <c r="H152" s="464">
        <v>25000</v>
      </c>
      <c r="I152" s="464">
        <f t="shared" si="14"/>
        <v>8000</v>
      </c>
      <c r="J152" s="464">
        <f t="shared" si="15"/>
        <v>8000</v>
      </c>
      <c r="K152" s="465"/>
    </row>
    <row r="153" spans="2:11" x14ac:dyDescent="0.25">
      <c r="B153" s="460">
        <v>49</v>
      </c>
      <c r="C153" s="469" t="s">
        <v>659</v>
      </c>
      <c r="D153" s="471" t="s">
        <v>23</v>
      </c>
      <c r="E153" s="474">
        <f>E151</f>
        <v>45.6</v>
      </c>
      <c r="F153" s="464">
        <v>100</v>
      </c>
      <c r="G153" s="464">
        <f t="shared" si="13"/>
        <v>4560</v>
      </c>
      <c r="H153" s="464"/>
      <c r="I153" s="464">
        <f t="shared" si="14"/>
        <v>0</v>
      </c>
      <c r="J153" s="464">
        <f t="shared" si="15"/>
        <v>4560</v>
      </c>
      <c r="K153" s="465"/>
    </row>
    <row r="154" spans="2:11" ht="26.4" x14ac:dyDescent="0.25">
      <c r="B154" s="460"/>
      <c r="C154" s="470" t="s">
        <v>683</v>
      </c>
      <c r="D154" s="471" t="s">
        <v>344</v>
      </c>
      <c r="E154" s="474">
        <f>E150</f>
        <v>4</v>
      </c>
      <c r="F154" s="464"/>
      <c r="G154" s="464">
        <f t="shared" si="13"/>
        <v>0</v>
      </c>
      <c r="H154" s="464">
        <v>1150</v>
      </c>
      <c r="I154" s="464">
        <f t="shared" si="14"/>
        <v>4600</v>
      </c>
      <c r="J154" s="464">
        <f t="shared" si="15"/>
        <v>4600</v>
      </c>
      <c r="K154" s="465"/>
    </row>
    <row r="155" spans="2:11" x14ac:dyDescent="0.25">
      <c r="B155" s="460">
        <v>50</v>
      </c>
      <c r="C155" s="469" t="s">
        <v>755</v>
      </c>
      <c r="D155" s="462" t="s">
        <v>23</v>
      </c>
      <c r="E155" s="474">
        <f>E153</f>
        <v>45.6</v>
      </c>
      <c r="F155" s="464">
        <v>100</v>
      </c>
      <c r="G155" s="464">
        <f t="shared" si="13"/>
        <v>4560</v>
      </c>
      <c r="H155" s="464"/>
      <c r="I155" s="464">
        <f t="shared" si="14"/>
        <v>0</v>
      </c>
      <c r="J155" s="464">
        <f>G155+I155</f>
        <v>4560</v>
      </c>
      <c r="K155" s="465"/>
    </row>
    <row r="156" spans="2:11" x14ac:dyDescent="0.25">
      <c r="B156" s="460"/>
      <c r="C156" s="470" t="s">
        <v>685</v>
      </c>
      <c r="D156" s="462" t="s">
        <v>217</v>
      </c>
      <c r="E156" s="474">
        <f>ROUNDUP(E155*1.2/75,0)</f>
        <v>1</v>
      </c>
      <c r="F156" s="464"/>
      <c r="G156" s="464">
        <f t="shared" si="13"/>
        <v>0</v>
      </c>
      <c r="H156" s="464">
        <v>7000</v>
      </c>
      <c r="I156" s="464">
        <f t="shared" si="14"/>
        <v>7000</v>
      </c>
      <c r="J156" s="464">
        <f t="shared" ref="J156:J172" si="16">G156+I156</f>
        <v>7000</v>
      </c>
      <c r="K156" s="465"/>
    </row>
    <row r="157" spans="2:11" x14ac:dyDescent="0.25">
      <c r="B157" s="460">
        <v>51</v>
      </c>
      <c r="C157" s="469" t="s">
        <v>302</v>
      </c>
      <c r="D157" s="462" t="s">
        <v>23</v>
      </c>
      <c r="E157" s="474">
        <f>E155</f>
        <v>45.6</v>
      </c>
      <c r="F157" s="464">
        <v>120</v>
      </c>
      <c r="G157" s="464">
        <f t="shared" si="13"/>
        <v>5472</v>
      </c>
      <c r="H157" s="464"/>
      <c r="I157" s="464">
        <f t="shared" si="14"/>
        <v>0</v>
      </c>
      <c r="J157" s="464">
        <f t="shared" si="16"/>
        <v>5472</v>
      </c>
      <c r="K157" s="465"/>
    </row>
    <row r="158" spans="2:11" x14ac:dyDescent="0.25">
      <c r="B158" s="460"/>
      <c r="C158" s="470" t="s">
        <v>691</v>
      </c>
      <c r="D158" s="462" t="s">
        <v>217</v>
      </c>
      <c r="E158" s="474">
        <v>1</v>
      </c>
      <c r="F158" s="464"/>
      <c r="G158" s="464">
        <f t="shared" si="13"/>
        <v>0</v>
      </c>
      <c r="H158" s="464">
        <v>7450</v>
      </c>
      <c r="I158" s="464">
        <f t="shared" si="14"/>
        <v>7450</v>
      </c>
      <c r="J158" s="464">
        <f t="shared" si="16"/>
        <v>7450</v>
      </c>
      <c r="K158" s="465"/>
    </row>
    <row r="159" spans="2:11" x14ac:dyDescent="0.25">
      <c r="B159" s="460"/>
      <c r="C159" s="483" t="s">
        <v>693</v>
      </c>
      <c r="D159" s="471" t="s">
        <v>217</v>
      </c>
      <c r="E159" s="463">
        <v>3</v>
      </c>
      <c r="F159" s="464"/>
      <c r="G159" s="464">
        <f t="shared" si="13"/>
        <v>0</v>
      </c>
      <c r="H159" s="464">
        <v>1560</v>
      </c>
      <c r="I159" s="464">
        <f t="shared" si="14"/>
        <v>4680</v>
      </c>
      <c r="J159" s="464">
        <f t="shared" si="16"/>
        <v>4680</v>
      </c>
      <c r="K159" s="465"/>
    </row>
    <row r="160" spans="2:11" x14ac:dyDescent="0.25">
      <c r="B160" s="460">
        <v>52</v>
      </c>
      <c r="C160" s="469" t="s">
        <v>687</v>
      </c>
      <c r="D160" s="462" t="s">
        <v>23</v>
      </c>
      <c r="E160" s="474">
        <v>48.31</v>
      </c>
      <c r="F160" s="464">
        <v>800</v>
      </c>
      <c r="G160" s="464">
        <f t="shared" si="13"/>
        <v>38648</v>
      </c>
      <c r="H160" s="464"/>
      <c r="I160" s="464">
        <f t="shared" si="14"/>
        <v>0</v>
      </c>
      <c r="J160" s="464">
        <f t="shared" si="16"/>
        <v>38648</v>
      </c>
      <c r="K160" s="465"/>
    </row>
    <row r="161" spans="2:251" x14ac:dyDescent="0.25">
      <c r="B161" s="460"/>
      <c r="C161" s="470" t="s">
        <v>686</v>
      </c>
      <c r="D161" s="471" t="s">
        <v>25</v>
      </c>
      <c r="E161" s="477">
        <f>(21+24+36)*0.045*0.095</f>
        <v>0.346275</v>
      </c>
      <c r="F161" s="464"/>
      <c r="G161" s="464">
        <f t="shared" si="13"/>
        <v>0</v>
      </c>
      <c r="H161" s="464">
        <v>25000</v>
      </c>
      <c r="I161" s="464">
        <f t="shared" si="14"/>
        <v>8656.875</v>
      </c>
      <c r="J161" s="464">
        <f t="shared" si="16"/>
        <v>8656.875</v>
      </c>
      <c r="K161" s="465"/>
    </row>
    <row r="162" spans="2:251" x14ac:dyDescent="0.25">
      <c r="B162" s="460"/>
      <c r="C162" s="470" t="s">
        <v>679</v>
      </c>
      <c r="D162" s="462" t="s">
        <v>25</v>
      </c>
      <c r="E162" s="477">
        <f>(69+60)*0.045*0.145</f>
        <v>0.84172499999999995</v>
      </c>
      <c r="F162" s="464"/>
      <c r="G162" s="464">
        <f t="shared" si="13"/>
        <v>0</v>
      </c>
      <c r="H162" s="464">
        <v>25000</v>
      </c>
      <c r="I162" s="464">
        <f t="shared" si="14"/>
        <v>21043.125</v>
      </c>
      <c r="J162" s="464">
        <f t="shared" si="16"/>
        <v>21043.125</v>
      </c>
      <c r="K162" s="465"/>
    </row>
    <row r="163" spans="2:251" x14ac:dyDescent="0.25">
      <c r="B163" s="460"/>
      <c r="C163" s="470" t="s">
        <v>646</v>
      </c>
      <c r="D163" s="462" t="s">
        <v>25</v>
      </c>
      <c r="E163" s="477">
        <f>(3+3+3)*0.045*0.195</f>
        <v>7.8975000000000004E-2</v>
      </c>
      <c r="F163" s="464"/>
      <c r="G163" s="464">
        <f t="shared" si="13"/>
        <v>0</v>
      </c>
      <c r="H163" s="464">
        <v>25000</v>
      </c>
      <c r="I163" s="464">
        <f t="shared" si="14"/>
        <v>1974.375</v>
      </c>
      <c r="J163" s="464">
        <f t="shared" si="16"/>
        <v>1974.375</v>
      </c>
      <c r="K163" s="465"/>
    </row>
    <row r="164" spans="2:251" x14ac:dyDescent="0.25">
      <c r="B164" s="460">
        <v>53</v>
      </c>
      <c r="C164" s="469" t="s">
        <v>688</v>
      </c>
      <c r="D164" s="471" t="s">
        <v>23</v>
      </c>
      <c r="E164" s="474">
        <f>E160</f>
        <v>48.31</v>
      </c>
      <c r="F164" s="464">
        <v>200</v>
      </c>
      <c r="G164" s="464">
        <f t="shared" si="13"/>
        <v>9662</v>
      </c>
      <c r="H164" s="464"/>
      <c r="I164" s="464">
        <f t="shared" si="14"/>
        <v>0</v>
      </c>
      <c r="J164" s="464">
        <f t="shared" si="16"/>
        <v>9662</v>
      </c>
      <c r="K164" s="465"/>
    </row>
    <row r="165" spans="2:251" ht="26.4" x14ac:dyDescent="0.25">
      <c r="B165" s="460"/>
      <c r="C165" s="470" t="s">
        <v>689</v>
      </c>
      <c r="D165" s="471" t="s">
        <v>344</v>
      </c>
      <c r="E165" s="474">
        <f>ROUNDUP(E164/6,)</f>
        <v>9</v>
      </c>
      <c r="F165" s="464"/>
      <c r="G165" s="464">
        <f t="shared" si="13"/>
        <v>0</v>
      </c>
      <c r="H165" s="464">
        <v>1070</v>
      </c>
      <c r="I165" s="464">
        <f t="shared" si="14"/>
        <v>9630</v>
      </c>
      <c r="J165" s="464">
        <f t="shared" si="16"/>
        <v>9630</v>
      </c>
      <c r="K165" s="465"/>
    </row>
    <row r="166" spans="2:251" ht="26.4" x14ac:dyDescent="0.25">
      <c r="B166" s="460">
        <v>54</v>
      </c>
      <c r="C166" s="469" t="s">
        <v>690</v>
      </c>
      <c r="D166" s="462" t="s">
        <v>23</v>
      </c>
      <c r="E166" s="474">
        <f>E160*2</f>
        <v>96.62</v>
      </c>
      <c r="F166" s="464">
        <v>120</v>
      </c>
      <c r="G166" s="464">
        <f t="shared" si="13"/>
        <v>11594.400000000001</v>
      </c>
      <c r="H166" s="464"/>
      <c r="I166" s="464">
        <f t="shared" si="14"/>
        <v>0</v>
      </c>
      <c r="J166" s="464">
        <f t="shared" si="16"/>
        <v>11594.400000000001</v>
      </c>
      <c r="K166" s="465"/>
    </row>
    <row r="167" spans="2:251" x14ac:dyDescent="0.25">
      <c r="B167" s="460"/>
      <c r="C167" s="470" t="s">
        <v>692</v>
      </c>
      <c r="D167" s="462" t="s">
        <v>217</v>
      </c>
      <c r="E167" s="474">
        <v>1</v>
      </c>
      <c r="F167" s="464"/>
      <c r="G167" s="464">
        <f t="shared" si="13"/>
        <v>0</v>
      </c>
      <c r="H167" s="464">
        <v>1300</v>
      </c>
      <c r="I167" s="464">
        <f t="shared" si="14"/>
        <v>1300</v>
      </c>
      <c r="J167" s="464">
        <f t="shared" si="16"/>
        <v>1300</v>
      </c>
      <c r="K167" s="465"/>
    </row>
    <row r="168" spans="2:251" s="486" customFormat="1" x14ac:dyDescent="0.25">
      <c r="B168" s="460">
        <v>55</v>
      </c>
      <c r="C168" s="466" t="s">
        <v>772</v>
      </c>
      <c r="D168" s="471" t="s">
        <v>25</v>
      </c>
      <c r="E168" s="484">
        <f>E145+E146+E147+E152+E161+E162+E163</f>
        <v>3.7931749999999993</v>
      </c>
      <c r="F168" s="485">
        <v>2500</v>
      </c>
      <c r="G168" s="464">
        <f t="shared" si="13"/>
        <v>9482.9374999999982</v>
      </c>
      <c r="H168" s="485"/>
      <c r="I168" s="464">
        <f t="shared" si="14"/>
        <v>0</v>
      </c>
      <c r="J168" s="464">
        <f t="shared" si="16"/>
        <v>9482.9374999999982</v>
      </c>
      <c r="K168" s="465"/>
      <c r="L168" s="454"/>
      <c r="M168" s="454"/>
      <c r="N168" s="454"/>
      <c r="O168" s="454"/>
      <c r="P168" s="454"/>
      <c r="Q168" s="454"/>
      <c r="R168" s="454"/>
      <c r="S168" s="454"/>
      <c r="T168" s="454"/>
      <c r="U168" s="454"/>
      <c r="V168" s="454"/>
      <c r="W168" s="454"/>
      <c r="X168" s="454"/>
      <c r="Y168" s="454"/>
      <c r="Z168" s="454"/>
      <c r="AA168" s="454"/>
      <c r="AB168" s="454"/>
      <c r="AC168" s="454"/>
      <c r="AD168" s="454"/>
      <c r="AE168" s="454"/>
      <c r="AF168" s="454"/>
      <c r="AG168" s="454"/>
      <c r="AH168" s="454"/>
      <c r="AI168" s="454"/>
      <c r="AJ168" s="454"/>
      <c r="AK168" s="454"/>
      <c r="AL168" s="454"/>
      <c r="AM168" s="454"/>
      <c r="AN168" s="454"/>
      <c r="AO168" s="454"/>
      <c r="AP168" s="454"/>
      <c r="AQ168" s="454"/>
      <c r="AR168" s="454"/>
      <c r="AS168" s="454"/>
      <c r="AT168" s="454"/>
      <c r="AU168" s="454"/>
      <c r="AV168" s="454"/>
      <c r="AW168" s="454"/>
      <c r="AX168" s="454"/>
      <c r="AY168" s="454"/>
      <c r="AZ168" s="454"/>
      <c r="BA168" s="454"/>
      <c r="BB168" s="454"/>
      <c r="BC168" s="454"/>
      <c r="BD168" s="454"/>
      <c r="BE168" s="454"/>
      <c r="BF168" s="454"/>
      <c r="BG168" s="454"/>
      <c r="BH168" s="454"/>
      <c r="BI168" s="454"/>
      <c r="BJ168" s="454"/>
      <c r="BK168" s="454"/>
      <c r="BL168" s="454"/>
      <c r="BM168" s="454"/>
      <c r="BN168" s="454"/>
      <c r="BO168" s="454"/>
      <c r="BP168" s="454"/>
      <c r="BQ168" s="454"/>
      <c r="BR168" s="454"/>
      <c r="BS168" s="454"/>
      <c r="BT168" s="454"/>
      <c r="BU168" s="454"/>
      <c r="BV168" s="454"/>
      <c r="BW168" s="454"/>
      <c r="BX168" s="454"/>
      <c r="BY168" s="454"/>
      <c r="BZ168" s="454"/>
      <c r="CA168" s="454"/>
      <c r="CB168" s="454"/>
      <c r="CC168" s="454"/>
      <c r="CD168" s="454"/>
      <c r="CE168" s="454"/>
      <c r="CF168" s="454"/>
      <c r="CG168" s="454"/>
      <c r="CH168" s="454"/>
      <c r="CI168" s="454"/>
      <c r="CJ168" s="454"/>
      <c r="CK168" s="454"/>
      <c r="CL168" s="454"/>
      <c r="CM168" s="454"/>
      <c r="CN168" s="454"/>
      <c r="CO168" s="454"/>
      <c r="CP168" s="454"/>
      <c r="CQ168" s="454"/>
      <c r="CR168" s="454"/>
      <c r="CS168" s="454"/>
      <c r="CT168" s="454"/>
      <c r="CU168" s="454"/>
      <c r="CV168" s="454"/>
      <c r="CW168" s="454"/>
      <c r="CX168" s="454"/>
      <c r="CY168" s="454"/>
      <c r="CZ168" s="454"/>
      <c r="DA168" s="454"/>
      <c r="DB168" s="454"/>
      <c r="DC168" s="454"/>
      <c r="DD168" s="454"/>
      <c r="DE168" s="454"/>
      <c r="DF168" s="454"/>
      <c r="DG168" s="454"/>
      <c r="DH168" s="454"/>
      <c r="DI168" s="454"/>
      <c r="DJ168" s="454"/>
      <c r="DK168" s="454"/>
      <c r="DL168" s="454"/>
      <c r="DM168" s="454"/>
      <c r="DN168" s="454"/>
      <c r="DO168" s="454"/>
      <c r="DP168" s="454"/>
      <c r="DQ168" s="454"/>
      <c r="DR168" s="454"/>
      <c r="DS168" s="454"/>
      <c r="DT168" s="454"/>
      <c r="DU168" s="454"/>
      <c r="DV168" s="454"/>
      <c r="DW168" s="454"/>
      <c r="DX168" s="454"/>
      <c r="DY168" s="454"/>
      <c r="DZ168" s="454"/>
      <c r="EA168" s="454"/>
      <c r="EB168" s="454"/>
      <c r="EC168" s="454"/>
      <c r="ED168" s="454"/>
      <c r="EE168" s="454"/>
      <c r="EF168" s="454"/>
      <c r="EG168" s="454"/>
      <c r="EH168" s="454"/>
      <c r="EI168" s="454"/>
      <c r="EJ168" s="454"/>
      <c r="EK168" s="454"/>
      <c r="EL168" s="454"/>
      <c r="EM168" s="454"/>
      <c r="EN168" s="454"/>
      <c r="EO168" s="454"/>
      <c r="EP168" s="454"/>
      <c r="EQ168" s="454"/>
      <c r="ER168" s="454"/>
      <c r="ES168" s="454"/>
      <c r="ET168" s="454"/>
      <c r="EU168" s="454"/>
      <c r="EV168" s="454"/>
      <c r="EW168" s="454"/>
      <c r="EX168" s="454"/>
      <c r="EY168" s="454"/>
      <c r="EZ168" s="454"/>
      <c r="FA168" s="454"/>
      <c r="FB168" s="454"/>
      <c r="FC168" s="454"/>
      <c r="FD168" s="454"/>
      <c r="FE168" s="454"/>
      <c r="FF168" s="454"/>
      <c r="FG168" s="454"/>
      <c r="FH168" s="454"/>
      <c r="FI168" s="454"/>
      <c r="FJ168" s="454"/>
      <c r="FK168" s="454"/>
      <c r="FL168" s="454"/>
      <c r="FM168" s="454"/>
      <c r="FN168" s="454"/>
      <c r="FO168" s="454"/>
      <c r="FP168" s="454"/>
      <c r="FQ168" s="454"/>
      <c r="FR168" s="454"/>
      <c r="FS168" s="454"/>
      <c r="FT168" s="454"/>
      <c r="FU168" s="454"/>
      <c r="FV168" s="454"/>
      <c r="FW168" s="454"/>
      <c r="FX168" s="454"/>
      <c r="FY168" s="454"/>
      <c r="FZ168" s="454"/>
      <c r="GA168" s="454"/>
      <c r="GB168" s="454"/>
      <c r="GC168" s="454"/>
      <c r="GD168" s="454"/>
      <c r="GE168" s="454"/>
      <c r="GF168" s="454"/>
      <c r="GG168" s="454"/>
      <c r="GH168" s="454"/>
      <c r="GI168" s="454"/>
      <c r="GJ168" s="454"/>
      <c r="GK168" s="454"/>
      <c r="GL168" s="454"/>
      <c r="GM168" s="454"/>
      <c r="GN168" s="454"/>
      <c r="GO168" s="454"/>
      <c r="GP168" s="454"/>
      <c r="GQ168" s="454"/>
      <c r="GR168" s="454"/>
      <c r="GS168" s="454"/>
      <c r="GT168" s="454"/>
      <c r="GU168" s="454"/>
      <c r="GV168" s="454"/>
      <c r="GW168" s="454"/>
      <c r="GX168" s="454"/>
      <c r="GY168" s="454"/>
      <c r="GZ168" s="454"/>
      <c r="HA168" s="454"/>
      <c r="HB168" s="454"/>
      <c r="HC168" s="454"/>
      <c r="HD168" s="454"/>
      <c r="HE168" s="454"/>
      <c r="HF168" s="454"/>
      <c r="HG168" s="454"/>
      <c r="HH168" s="454"/>
      <c r="HI168" s="454"/>
      <c r="HJ168" s="454"/>
      <c r="HK168" s="454"/>
      <c r="HL168" s="454"/>
      <c r="HM168" s="454"/>
      <c r="HN168" s="454"/>
      <c r="HO168" s="454"/>
      <c r="HP168" s="454"/>
      <c r="HQ168" s="454"/>
      <c r="HR168" s="454"/>
      <c r="HS168" s="454"/>
      <c r="HT168" s="454"/>
      <c r="HU168" s="454"/>
      <c r="HV168" s="454"/>
      <c r="HW168" s="454"/>
      <c r="HX168" s="454"/>
      <c r="HY168" s="454"/>
      <c r="HZ168" s="454"/>
      <c r="IA168" s="454"/>
      <c r="IB168" s="454"/>
      <c r="IC168" s="454"/>
      <c r="ID168" s="454"/>
      <c r="IE168" s="454"/>
      <c r="IF168" s="454"/>
      <c r="IG168" s="454"/>
      <c r="IH168" s="454"/>
      <c r="II168" s="454"/>
      <c r="IJ168" s="454"/>
      <c r="IK168" s="454"/>
      <c r="IL168" s="454"/>
      <c r="IM168" s="454"/>
      <c r="IN168" s="454"/>
      <c r="IO168" s="454"/>
      <c r="IP168" s="454"/>
      <c r="IQ168" s="454"/>
    </row>
    <row r="169" spans="2:251" s="486" customFormat="1" ht="26.4" x14ac:dyDescent="0.25">
      <c r="B169" s="460"/>
      <c r="C169" s="483" t="s">
        <v>770</v>
      </c>
      <c r="D169" s="471" t="s">
        <v>344</v>
      </c>
      <c r="E169" s="484">
        <v>2</v>
      </c>
      <c r="F169" s="485"/>
      <c r="G169" s="464"/>
      <c r="H169" s="485">
        <v>2870</v>
      </c>
      <c r="I169" s="464">
        <f t="shared" si="14"/>
        <v>5740</v>
      </c>
      <c r="J169" s="464">
        <f t="shared" si="16"/>
        <v>5740</v>
      </c>
      <c r="K169" s="487" t="s">
        <v>771</v>
      </c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4"/>
      <c r="AH169" s="454"/>
      <c r="AI169" s="454"/>
      <c r="AJ169" s="454"/>
      <c r="AK169" s="454"/>
      <c r="AL169" s="454"/>
      <c r="AM169" s="454"/>
      <c r="AN169" s="454"/>
      <c r="AO169" s="454"/>
      <c r="AP169" s="454"/>
      <c r="AQ169" s="454"/>
      <c r="AR169" s="454"/>
      <c r="AS169" s="454"/>
      <c r="AT169" s="454"/>
      <c r="AU169" s="454"/>
      <c r="AV169" s="454"/>
      <c r="AW169" s="454"/>
      <c r="AX169" s="454"/>
      <c r="AY169" s="454"/>
      <c r="AZ169" s="454"/>
      <c r="BA169" s="454"/>
      <c r="BB169" s="454"/>
      <c r="BC169" s="454"/>
      <c r="BD169" s="454"/>
      <c r="BE169" s="454"/>
      <c r="BF169" s="454"/>
      <c r="BG169" s="454"/>
      <c r="BH169" s="454"/>
      <c r="BI169" s="454"/>
      <c r="BJ169" s="454"/>
      <c r="BK169" s="454"/>
      <c r="BL169" s="454"/>
      <c r="BM169" s="454"/>
      <c r="BN169" s="454"/>
      <c r="BO169" s="454"/>
      <c r="BP169" s="454"/>
      <c r="BQ169" s="454"/>
      <c r="BR169" s="454"/>
      <c r="BS169" s="454"/>
      <c r="BT169" s="454"/>
      <c r="BU169" s="454"/>
      <c r="BV169" s="454"/>
      <c r="BW169" s="454"/>
      <c r="BX169" s="454"/>
      <c r="BY169" s="454"/>
      <c r="BZ169" s="454"/>
      <c r="CA169" s="454"/>
      <c r="CB169" s="454"/>
      <c r="CC169" s="454"/>
      <c r="CD169" s="454"/>
      <c r="CE169" s="454"/>
      <c r="CF169" s="454"/>
      <c r="CG169" s="454"/>
      <c r="CH169" s="454"/>
      <c r="CI169" s="454"/>
      <c r="CJ169" s="454"/>
      <c r="CK169" s="454"/>
      <c r="CL169" s="454"/>
      <c r="CM169" s="454"/>
      <c r="CN169" s="454"/>
      <c r="CO169" s="454"/>
      <c r="CP169" s="454"/>
      <c r="CQ169" s="454"/>
      <c r="CR169" s="454"/>
      <c r="CS169" s="454"/>
      <c r="CT169" s="454"/>
      <c r="CU169" s="454"/>
      <c r="CV169" s="454"/>
      <c r="CW169" s="454"/>
      <c r="CX169" s="454"/>
      <c r="CY169" s="454"/>
      <c r="CZ169" s="454"/>
      <c r="DA169" s="454"/>
      <c r="DB169" s="454"/>
      <c r="DC169" s="454"/>
      <c r="DD169" s="454"/>
      <c r="DE169" s="454"/>
      <c r="DF169" s="454"/>
      <c r="DG169" s="454"/>
      <c r="DH169" s="454"/>
      <c r="DI169" s="454"/>
      <c r="DJ169" s="454"/>
      <c r="DK169" s="454"/>
      <c r="DL169" s="454"/>
      <c r="DM169" s="454"/>
      <c r="DN169" s="454"/>
      <c r="DO169" s="454"/>
      <c r="DP169" s="454"/>
      <c r="DQ169" s="454"/>
      <c r="DR169" s="454"/>
      <c r="DS169" s="454"/>
      <c r="DT169" s="454"/>
      <c r="DU169" s="454"/>
      <c r="DV169" s="454"/>
      <c r="DW169" s="454"/>
      <c r="DX169" s="454"/>
      <c r="DY169" s="454"/>
      <c r="DZ169" s="454"/>
      <c r="EA169" s="454"/>
      <c r="EB169" s="454"/>
      <c r="EC169" s="454"/>
      <c r="ED169" s="454"/>
      <c r="EE169" s="454"/>
      <c r="EF169" s="454"/>
      <c r="EG169" s="454"/>
      <c r="EH169" s="454"/>
      <c r="EI169" s="454"/>
      <c r="EJ169" s="454"/>
      <c r="EK169" s="454"/>
      <c r="EL169" s="454"/>
      <c r="EM169" s="454"/>
      <c r="EN169" s="454"/>
      <c r="EO169" s="454"/>
      <c r="EP169" s="454"/>
      <c r="EQ169" s="454"/>
      <c r="ER169" s="454"/>
      <c r="ES169" s="454"/>
      <c r="ET169" s="454"/>
      <c r="EU169" s="454"/>
      <c r="EV169" s="454"/>
      <c r="EW169" s="454"/>
      <c r="EX169" s="454"/>
      <c r="EY169" s="454"/>
      <c r="EZ169" s="454"/>
      <c r="FA169" s="454"/>
      <c r="FB169" s="454"/>
      <c r="FC169" s="454"/>
      <c r="FD169" s="454"/>
      <c r="FE169" s="454"/>
      <c r="FF169" s="454"/>
      <c r="FG169" s="454"/>
      <c r="FH169" s="454"/>
      <c r="FI169" s="454"/>
      <c r="FJ169" s="454"/>
      <c r="FK169" s="454"/>
      <c r="FL169" s="454"/>
      <c r="FM169" s="454"/>
      <c r="FN169" s="454"/>
      <c r="FO169" s="454"/>
      <c r="FP169" s="454"/>
      <c r="FQ169" s="454"/>
      <c r="FR169" s="454"/>
      <c r="FS169" s="454"/>
      <c r="FT169" s="454"/>
      <c r="FU169" s="454"/>
      <c r="FV169" s="454"/>
      <c r="FW169" s="454"/>
      <c r="FX169" s="454"/>
      <c r="FY169" s="454"/>
      <c r="FZ169" s="454"/>
      <c r="GA169" s="454"/>
      <c r="GB169" s="454"/>
      <c r="GC169" s="454"/>
      <c r="GD169" s="454"/>
      <c r="GE169" s="454"/>
      <c r="GF169" s="454"/>
      <c r="GG169" s="454"/>
      <c r="GH169" s="454"/>
      <c r="GI169" s="454"/>
      <c r="GJ169" s="454"/>
      <c r="GK169" s="454"/>
      <c r="GL169" s="454"/>
      <c r="GM169" s="454"/>
      <c r="GN169" s="454"/>
      <c r="GO169" s="454"/>
      <c r="GP169" s="454"/>
      <c r="GQ169" s="454"/>
      <c r="GR169" s="454"/>
      <c r="GS169" s="454"/>
      <c r="GT169" s="454"/>
      <c r="GU169" s="454"/>
      <c r="GV169" s="454"/>
      <c r="GW169" s="454"/>
      <c r="GX169" s="454"/>
      <c r="GY169" s="454"/>
      <c r="GZ169" s="454"/>
      <c r="HA169" s="454"/>
      <c r="HB169" s="454"/>
      <c r="HC169" s="454"/>
      <c r="HD169" s="454"/>
      <c r="HE169" s="454"/>
      <c r="HF169" s="454"/>
      <c r="HG169" s="454"/>
      <c r="HH169" s="454"/>
      <c r="HI169" s="454"/>
      <c r="HJ169" s="454"/>
      <c r="HK169" s="454"/>
      <c r="HL169" s="454"/>
      <c r="HM169" s="454"/>
      <c r="HN169" s="454"/>
      <c r="HO169" s="454"/>
      <c r="HP169" s="454"/>
      <c r="HQ169" s="454"/>
      <c r="HR169" s="454"/>
      <c r="HS169" s="454"/>
      <c r="HT169" s="454"/>
      <c r="HU169" s="454"/>
      <c r="HV169" s="454"/>
      <c r="HW169" s="454"/>
      <c r="HX169" s="454"/>
      <c r="HY169" s="454"/>
      <c r="HZ169" s="454"/>
      <c r="IA169" s="454"/>
      <c r="IB169" s="454"/>
      <c r="IC169" s="454"/>
      <c r="ID169" s="454"/>
      <c r="IE169" s="454"/>
      <c r="IF169" s="454"/>
      <c r="IG169" s="454"/>
      <c r="IH169" s="454"/>
      <c r="II169" s="454"/>
      <c r="IJ169" s="454"/>
      <c r="IK169" s="454"/>
      <c r="IL169" s="454"/>
      <c r="IM169" s="454"/>
      <c r="IN169" s="454"/>
      <c r="IO169" s="454"/>
      <c r="IP169" s="454"/>
      <c r="IQ169" s="454"/>
    </row>
    <row r="170" spans="2:251" x14ac:dyDescent="0.25">
      <c r="B170" s="460"/>
      <c r="C170" s="483" t="s">
        <v>632</v>
      </c>
      <c r="D170" s="462" t="s">
        <v>479</v>
      </c>
      <c r="E170" s="463">
        <v>2</v>
      </c>
      <c r="F170" s="464"/>
      <c r="G170" s="464">
        <f>F170*E170</f>
        <v>0</v>
      </c>
      <c r="H170" s="464">
        <v>12000</v>
      </c>
      <c r="I170" s="464">
        <f t="shared" si="14"/>
        <v>24000</v>
      </c>
      <c r="J170" s="464">
        <f t="shared" si="16"/>
        <v>24000</v>
      </c>
      <c r="K170" s="465"/>
    </row>
    <row r="171" spans="2:251" s="490" customFormat="1" x14ac:dyDescent="0.25">
      <c r="B171" s="488">
        <v>56</v>
      </c>
      <c r="C171" s="469" t="s">
        <v>701</v>
      </c>
      <c r="D171" s="464" t="s">
        <v>702</v>
      </c>
      <c r="E171" s="464">
        <v>2</v>
      </c>
      <c r="F171" s="464">
        <v>6000</v>
      </c>
      <c r="G171" s="464">
        <f>F171*E171</f>
        <v>12000</v>
      </c>
      <c r="H171" s="464">
        <v>500</v>
      </c>
      <c r="I171" s="464">
        <f>E171*H171</f>
        <v>1000</v>
      </c>
      <c r="J171" s="464">
        <f t="shared" si="16"/>
        <v>13000</v>
      </c>
      <c r="K171" s="489"/>
    </row>
    <row r="172" spans="2:251" s="490" customFormat="1" x14ac:dyDescent="0.25">
      <c r="B172" s="488">
        <v>57</v>
      </c>
      <c r="C172" s="469" t="s">
        <v>703</v>
      </c>
      <c r="D172" s="464" t="s">
        <v>702</v>
      </c>
      <c r="E172" s="464">
        <v>2</v>
      </c>
      <c r="F172" s="464">
        <v>8000</v>
      </c>
      <c r="G172" s="464">
        <f>F172*E172</f>
        <v>16000</v>
      </c>
      <c r="H172" s="464"/>
      <c r="I172" s="464">
        <f>E172*H172</f>
        <v>0</v>
      </c>
      <c r="J172" s="464">
        <f t="shared" si="16"/>
        <v>16000</v>
      </c>
      <c r="K172" s="489"/>
    </row>
    <row r="173" spans="2:251" x14ac:dyDescent="0.25">
      <c r="B173" s="640" t="s">
        <v>635</v>
      </c>
      <c r="C173" s="640"/>
      <c r="D173" s="640"/>
      <c r="E173" s="640"/>
      <c r="F173" s="640"/>
      <c r="G173" s="640"/>
      <c r="H173" s="640"/>
      <c r="I173" s="640"/>
      <c r="J173" s="464">
        <f>SUM(G144:G172)</f>
        <v>180747.33749999999</v>
      </c>
      <c r="K173" s="465"/>
    </row>
    <row r="174" spans="2:251" x14ac:dyDescent="0.25">
      <c r="B174" s="640" t="s">
        <v>471</v>
      </c>
      <c r="C174" s="640"/>
      <c r="D174" s="640"/>
      <c r="E174" s="640"/>
      <c r="F174" s="640"/>
      <c r="G174" s="640"/>
      <c r="H174" s="640"/>
      <c r="I174" s="640"/>
      <c r="J174" s="464">
        <f>SUM(I144:I172)</f>
        <v>174029.375</v>
      </c>
      <c r="K174" s="465"/>
    </row>
    <row r="175" spans="2:251" x14ac:dyDescent="0.25">
      <c r="B175" s="460"/>
      <c r="C175" s="470" t="s">
        <v>248</v>
      </c>
      <c r="D175" s="462"/>
      <c r="E175" s="481">
        <v>0.08</v>
      </c>
      <c r="F175" s="464"/>
      <c r="G175" s="464"/>
      <c r="H175" s="464"/>
      <c r="I175" s="464"/>
      <c r="J175" s="464">
        <f>SUM(J174)*$E175</f>
        <v>13922.35</v>
      </c>
      <c r="K175" s="465"/>
    </row>
    <row r="176" spans="2:251" x14ac:dyDescent="0.25">
      <c r="B176" s="460"/>
      <c r="C176" s="470" t="s">
        <v>631</v>
      </c>
      <c r="D176" s="462"/>
      <c r="E176" s="481">
        <v>0.03</v>
      </c>
      <c r="F176" s="464"/>
      <c r="G176" s="464"/>
      <c r="H176" s="464"/>
      <c r="I176" s="464"/>
      <c r="J176" s="464">
        <f>SUM(J173:J175)*$E176</f>
        <v>11060.971874999999</v>
      </c>
      <c r="K176" s="465"/>
    </row>
    <row r="177" spans="2:14" x14ac:dyDescent="0.25">
      <c r="B177" s="460"/>
      <c r="C177" s="470" t="s">
        <v>629</v>
      </c>
      <c r="D177" s="462"/>
      <c r="E177" s="481">
        <v>0.02</v>
      </c>
      <c r="F177" s="464"/>
      <c r="G177" s="464"/>
      <c r="H177" s="464"/>
      <c r="I177" s="464"/>
      <c r="J177" s="464">
        <f>SUM(J173:J176)*$E177</f>
        <v>7595.2006874999997</v>
      </c>
      <c r="K177" s="465"/>
    </row>
    <row r="178" spans="2:14" x14ac:dyDescent="0.25">
      <c r="B178" s="640" t="s">
        <v>706</v>
      </c>
      <c r="C178" s="640"/>
      <c r="D178" s="640"/>
      <c r="E178" s="640"/>
      <c r="F178" s="640"/>
      <c r="G178" s="640"/>
      <c r="H178" s="640"/>
      <c r="I178" s="640"/>
      <c r="J178" s="482">
        <f>SUM(J173:J177)</f>
        <v>387355.2350625</v>
      </c>
      <c r="K178" s="465"/>
    </row>
    <row r="179" spans="2:14" x14ac:dyDescent="0.25">
      <c r="B179" s="648" t="s">
        <v>650</v>
      </c>
      <c r="C179" s="643" t="s">
        <v>0</v>
      </c>
      <c r="D179" s="643" t="s">
        <v>22</v>
      </c>
      <c r="E179" s="649" t="s">
        <v>184</v>
      </c>
      <c r="F179" s="644" t="s">
        <v>649</v>
      </c>
      <c r="G179" s="644"/>
      <c r="H179" s="642" t="s">
        <v>215</v>
      </c>
      <c r="I179" s="642"/>
      <c r="J179" s="642" t="s">
        <v>777</v>
      </c>
      <c r="K179" s="642" t="s">
        <v>182</v>
      </c>
    </row>
    <row r="180" spans="2:14" x14ac:dyDescent="0.25">
      <c r="B180" s="648"/>
      <c r="C180" s="643"/>
      <c r="D180" s="643"/>
      <c r="E180" s="649"/>
      <c r="F180" s="458" t="s">
        <v>476</v>
      </c>
      <c r="G180" s="458" t="s">
        <v>776</v>
      </c>
      <c r="H180" s="458" t="s">
        <v>476</v>
      </c>
      <c r="I180" s="458" t="s">
        <v>823</v>
      </c>
      <c r="J180" s="642"/>
      <c r="K180" s="642"/>
    </row>
    <row r="181" spans="2:14" x14ac:dyDescent="0.25">
      <c r="B181" s="641" t="s">
        <v>663</v>
      </c>
      <c r="C181" s="641"/>
      <c r="D181" s="641"/>
      <c r="E181" s="641"/>
      <c r="F181" s="641"/>
      <c r="G181" s="641"/>
      <c r="H181" s="641"/>
      <c r="I181" s="641"/>
      <c r="J181" s="641"/>
      <c r="K181" s="459"/>
    </row>
    <row r="182" spans="2:14" x14ac:dyDescent="0.25">
      <c r="B182" s="460">
        <v>58</v>
      </c>
      <c r="C182" s="469" t="s">
        <v>256</v>
      </c>
      <c r="D182" s="462" t="s">
        <v>23</v>
      </c>
      <c r="E182" s="474">
        <v>120.88</v>
      </c>
      <c r="F182" s="464">
        <v>900</v>
      </c>
      <c r="G182" s="464">
        <f>E182*F182</f>
        <v>108792</v>
      </c>
      <c r="H182" s="464"/>
      <c r="I182" s="464">
        <f t="shared" ref="I182:I215" si="17">E182*H182</f>
        <v>0</v>
      </c>
      <c r="J182" s="464">
        <f t="shared" ref="J182:J220" si="18">G182+I182</f>
        <v>108792</v>
      </c>
      <c r="K182" s="465"/>
    </row>
    <row r="183" spans="2:14" x14ac:dyDescent="0.25">
      <c r="B183" s="460"/>
      <c r="C183" s="470" t="s">
        <v>646</v>
      </c>
      <c r="D183" s="471" t="s">
        <v>25</v>
      </c>
      <c r="E183" s="492">
        <f>456*0.045*0.195</f>
        <v>4.0014000000000003</v>
      </c>
      <c r="F183" s="464"/>
      <c r="G183" s="464">
        <f>E183*F183</f>
        <v>0</v>
      </c>
      <c r="H183" s="464">
        <v>25000</v>
      </c>
      <c r="I183" s="464">
        <f t="shared" si="17"/>
        <v>100035</v>
      </c>
      <c r="J183" s="464">
        <f t="shared" si="18"/>
        <v>100035</v>
      </c>
      <c r="K183" s="465"/>
    </row>
    <row r="184" spans="2:14" x14ac:dyDescent="0.25">
      <c r="B184" s="460"/>
      <c r="C184" s="470" t="s">
        <v>711</v>
      </c>
      <c r="D184" s="471" t="s">
        <v>25</v>
      </c>
      <c r="E184" s="474">
        <f>6*0.195*0.145</f>
        <v>0.16964999999999997</v>
      </c>
      <c r="F184" s="464"/>
      <c r="G184" s="464">
        <f>E184*F184</f>
        <v>0</v>
      </c>
      <c r="H184" s="464">
        <v>25000</v>
      </c>
      <c r="I184" s="464">
        <f t="shared" si="17"/>
        <v>4241.2499999999991</v>
      </c>
      <c r="J184" s="464">
        <f t="shared" si="18"/>
        <v>4241.2499999999991</v>
      </c>
      <c r="K184" s="465"/>
      <c r="L184" s="493"/>
      <c r="M184" s="493"/>
      <c r="N184" s="493"/>
    </row>
    <row r="185" spans="2:14" x14ac:dyDescent="0.25">
      <c r="B185" s="460">
        <v>59</v>
      </c>
      <c r="C185" s="469" t="s">
        <v>302</v>
      </c>
      <c r="D185" s="462" t="s">
        <v>23</v>
      </c>
      <c r="E185" s="474">
        <v>69.17</v>
      </c>
      <c r="F185" s="464">
        <v>120</v>
      </c>
      <c r="G185" s="464">
        <f>F185*E185</f>
        <v>8300.4</v>
      </c>
      <c r="H185" s="464"/>
      <c r="I185" s="464">
        <f t="shared" si="17"/>
        <v>0</v>
      </c>
      <c r="J185" s="464">
        <f t="shared" si="18"/>
        <v>8300.4</v>
      </c>
      <c r="K185" s="465"/>
    </row>
    <row r="186" spans="2:14" x14ac:dyDescent="0.25">
      <c r="B186" s="460"/>
      <c r="C186" s="470" t="s">
        <v>691</v>
      </c>
      <c r="D186" s="462" t="s">
        <v>217</v>
      </c>
      <c r="E186" s="474">
        <v>1</v>
      </c>
      <c r="F186" s="464"/>
      <c r="G186" s="464">
        <f>F186*E186</f>
        <v>0</v>
      </c>
      <c r="H186" s="464">
        <v>7450</v>
      </c>
      <c r="I186" s="464">
        <f t="shared" si="17"/>
        <v>7450</v>
      </c>
      <c r="J186" s="464">
        <f t="shared" si="18"/>
        <v>7450</v>
      </c>
      <c r="K186" s="465"/>
    </row>
    <row r="187" spans="2:14" x14ac:dyDescent="0.25">
      <c r="B187" s="460"/>
      <c r="C187" s="483" t="s">
        <v>693</v>
      </c>
      <c r="D187" s="471" t="s">
        <v>217</v>
      </c>
      <c r="E187" s="463">
        <v>3</v>
      </c>
      <c r="F187" s="464"/>
      <c r="G187" s="464">
        <f>F187*E187</f>
        <v>0</v>
      </c>
      <c r="H187" s="464">
        <v>1560</v>
      </c>
      <c r="I187" s="464">
        <f t="shared" si="17"/>
        <v>4680</v>
      </c>
      <c r="J187" s="464">
        <f t="shared" si="18"/>
        <v>4680</v>
      </c>
      <c r="K187" s="465"/>
    </row>
    <row r="188" spans="2:14" x14ac:dyDescent="0.25">
      <c r="B188" s="460">
        <v>60</v>
      </c>
      <c r="C188" s="494" t="s">
        <v>712</v>
      </c>
      <c r="D188" s="462" t="s">
        <v>23</v>
      </c>
      <c r="E188" s="474">
        <v>69.17</v>
      </c>
      <c r="F188" s="464">
        <v>350</v>
      </c>
      <c r="G188" s="464">
        <f>E188*F188</f>
        <v>24209.5</v>
      </c>
      <c r="H188" s="464"/>
      <c r="I188" s="464">
        <f t="shared" si="17"/>
        <v>0</v>
      </c>
      <c r="J188" s="464">
        <f t="shared" si="18"/>
        <v>24209.5</v>
      </c>
      <c r="K188" s="465"/>
    </row>
    <row r="189" spans="2:14" ht="26.4" x14ac:dyDescent="0.25">
      <c r="B189" s="460"/>
      <c r="C189" s="470" t="s">
        <v>682</v>
      </c>
      <c r="D189" s="471" t="s">
        <v>344</v>
      </c>
      <c r="E189" s="474">
        <f>ROUND(E188*2/6,0)</f>
        <v>23</v>
      </c>
      <c r="F189" s="464"/>
      <c r="G189" s="464">
        <f>F189*E189</f>
        <v>0</v>
      </c>
      <c r="H189" s="464">
        <v>1150</v>
      </c>
      <c r="I189" s="464">
        <f t="shared" si="17"/>
        <v>26450</v>
      </c>
      <c r="J189" s="464">
        <f t="shared" si="18"/>
        <v>26450</v>
      </c>
      <c r="K189" s="465"/>
    </row>
    <row r="190" spans="2:14" x14ac:dyDescent="0.25">
      <c r="B190" s="460">
        <v>61</v>
      </c>
      <c r="C190" s="469" t="s">
        <v>658</v>
      </c>
      <c r="D190" s="471" t="s">
        <v>23</v>
      </c>
      <c r="E190" s="474">
        <f>E188</f>
        <v>69.17</v>
      </c>
      <c r="F190" s="464">
        <v>200</v>
      </c>
      <c r="G190" s="464">
        <f>F190*E190</f>
        <v>13834</v>
      </c>
      <c r="H190" s="464"/>
      <c r="I190" s="464">
        <f t="shared" si="17"/>
        <v>0</v>
      </c>
      <c r="J190" s="464">
        <f t="shared" si="18"/>
        <v>13834</v>
      </c>
      <c r="K190" s="465"/>
    </row>
    <row r="191" spans="2:14" x14ac:dyDescent="0.25">
      <c r="B191" s="460"/>
      <c r="C191" s="470" t="s">
        <v>684</v>
      </c>
      <c r="D191" s="471" t="s">
        <v>25</v>
      </c>
      <c r="E191" s="474">
        <v>0.57999999999999996</v>
      </c>
      <c r="F191" s="464"/>
      <c r="G191" s="464">
        <f>F191*E191</f>
        <v>0</v>
      </c>
      <c r="H191" s="464">
        <v>25000</v>
      </c>
      <c r="I191" s="464">
        <f t="shared" si="17"/>
        <v>14499.999999999998</v>
      </c>
      <c r="J191" s="464">
        <f t="shared" si="18"/>
        <v>14499.999999999998</v>
      </c>
      <c r="K191" s="465"/>
      <c r="L191" s="493"/>
      <c r="M191" s="493"/>
    </row>
    <row r="192" spans="2:14" x14ac:dyDescent="0.25">
      <c r="B192" s="460">
        <v>62</v>
      </c>
      <c r="C192" s="469" t="s">
        <v>659</v>
      </c>
      <c r="D192" s="471" t="s">
        <v>23</v>
      </c>
      <c r="E192" s="474">
        <f>E190</f>
        <v>69.17</v>
      </c>
      <c r="F192" s="464">
        <v>100</v>
      </c>
      <c r="G192" s="464">
        <f>F192*E192</f>
        <v>6917</v>
      </c>
      <c r="H192" s="464"/>
      <c r="I192" s="464">
        <f t="shared" si="17"/>
        <v>0</v>
      </c>
      <c r="J192" s="464">
        <f t="shared" si="18"/>
        <v>6917</v>
      </c>
      <c r="K192" s="465"/>
    </row>
    <row r="193" spans="2:251" ht="26.4" x14ac:dyDescent="0.25">
      <c r="B193" s="460"/>
      <c r="C193" s="470" t="s">
        <v>683</v>
      </c>
      <c r="D193" s="471" t="s">
        <v>344</v>
      </c>
      <c r="E193" s="474">
        <f>ROUNDUP(E192/12,0)</f>
        <v>6</v>
      </c>
      <c r="F193" s="464"/>
      <c r="G193" s="464">
        <f>F193*E193</f>
        <v>0</v>
      </c>
      <c r="H193" s="464">
        <v>1150</v>
      </c>
      <c r="I193" s="464">
        <f t="shared" si="17"/>
        <v>6900</v>
      </c>
      <c r="J193" s="464">
        <f t="shared" si="18"/>
        <v>6900</v>
      </c>
      <c r="K193" s="465"/>
    </row>
    <row r="194" spans="2:251" x14ac:dyDescent="0.25">
      <c r="B194" s="460">
        <v>63</v>
      </c>
      <c r="C194" s="494" t="s">
        <v>643</v>
      </c>
      <c r="D194" s="471" t="s">
        <v>23</v>
      </c>
      <c r="E194" s="474">
        <f>E188</f>
        <v>69.17</v>
      </c>
      <c r="F194" s="464">
        <v>180</v>
      </c>
      <c r="G194" s="464">
        <f>E194*F194</f>
        <v>12450.6</v>
      </c>
      <c r="H194" s="464"/>
      <c r="I194" s="464">
        <f t="shared" si="17"/>
        <v>0</v>
      </c>
      <c r="J194" s="464">
        <f t="shared" si="18"/>
        <v>12450.6</v>
      </c>
      <c r="K194" s="465"/>
    </row>
    <row r="195" spans="2:251" s="486" customFormat="1" x14ac:dyDescent="0.25">
      <c r="B195" s="460"/>
      <c r="C195" s="495" t="s">
        <v>756</v>
      </c>
      <c r="D195" s="471" t="s">
        <v>25</v>
      </c>
      <c r="E195" s="474">
        <v>0.2</v>
      </c>
      <c r="F195" s="464"/>
      <c r="G195" s="464">
        <f>E195*F195</f>
        <v>0</v>
      </c>
      <c r="H195" s="464">
        <v>25000</v>
      </c>
      <c r="I195" s="464">
        <f t="shared" si="17"/>
        <v>5000</v>
      </c>
      <c r="J195" s="464">
        <f t="shared" si="18"/>
        <v>5000</v>
      </c>
      <c r="K195" s="465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454"/>
      <c r="Y195" s="454"/>
      <c r="Z195" s="454"/>
      <c r="AA195" s="454"/>
      <c r="AB195" s="454"/>
      <c r="AC195" s="454"/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454"/>
      <c r="AS195" s="454"/>
      <c r="AT195" s="454"/>
      <c r="AU195" s="454"/>
      <c r="AV195" s="454"/>
      <c r="AW195" s="454"/>
      <c r="AX195" s="454"/>
      <c r="AY195" s="454"/>
      <c r="AZ195" s="454"/>
      <c r="BA195" s="454"/>
      <c r="BB195" s="454"/>
      <c r="BC195" s="454"/>
      <c r="BD195" s="454"/>
      <c r="BE195" s="454"/>
      <c r="BF195" s="454"/>
      <c r="BG195" s="454"/>
      <c r="BH195" s="454"/>
      <c r="BI195" s="454"/>
      <c r="BJ195" s="454"/>
      <c r="BK195" s="454"/>
      <c r="BL195" s="454"/>
      <c r="BM195" s="454"/>
      <c r="BN195" s="454"/>
      <c r="BO195" s="454"/>
      <c r="BP195" s="454"/>
      <c r="BQ195" s="454"/>
      <c r="BR195" s="454"/>
      <c r="BS195" s="454"/>
      <c r="BT195" s="454"/>
      <c r="BU195" s="454"/>
      <c r="BV195" s="454"/>
      <c r="BW195" s="454"/>
      <c r="BX195" s="454"/>
      <c r="BY195" s="454"/>
      <c r="BZ195" s="454"/>
      <c r="CA195" s="454"/>
      <c r="CB195" s="454"/>
      <c r="CC195" s="454"/>
      <c r="CD195" s="454"/>
      <c r="CE195" s="454"/>
      <c r="CF195" s="454"/>
      <c r="CG195" s="454"/>
      <c r="CH195" s="454"/>
      <c r="CI195" s="454"/>
      <c r="CJ195" s="454"/>
      <c r="CK195" s="454"/>
      <c r="CL195" s="454"/>
      <c r="CM195" s="454"/>
      <c r="CN195" s="454"/>
      <c r="CO195" s="454"/>
      <c r="CP195" s="454"/>
      <c r="CQ195" s="454"/>
      <c r="CR195" s="454"/>
      <c r="CS195" s="454"/>
      <c r="CT195" s="454"/>
      <c r="CU195" s="454"/>
      <c r="CV195" s="454"/>
      <c r="CW195" s="454"/>
      <c r="CX195" s="454"/>
      <c r="CY195" s="454"/>
      <c r="CZ195" s="454"/>
      <c r="DA195" s="454"/>
      <c r="DB195" s="454"/>
      <c r="DC195" s="454"/>
      <c r="DD195" s="454"/>
      <c r="DE195" s="454"/>
      <c r="DF195" s="454"/>
      <c r="DG195" s="454"/>
      <c r="DH195" s="454"/>
      <c r="DI195" s="454"/>
      <c r="DJ195" s="454"/>
      <c r="DK195" s="454"/>
      <c r="DL195" s="454"/>
      <c r="DM195" s="454"/>
      <c r="DN195" s="454"/>
      <c r="DO195" s="454"/>
      <c r="DP195" s="454"/>
      <c r="DQ195" s="454"/>
      <c r="DR195" s="454"/>
      <c r="DS195" s="454"/>
      <c r="DT195" s="454"/>
      <c r="DU195" s="454"/>
      <c r="DV195" s="454"/>
      <c r="DW195" s="454"/>
      <c r="DX195" s="454"/>
      <c r="DY195" s="454"/>
      <c r="DZ195" s="454"/>
      <c r="EA195" s="454"/>
      <c r="EB195" s="454"/>
      <c r="EC195" s="454"/>
      <c r="ED195" s="454"/>
      <c r="EE195" s="454"/>
      <c r="EF195" s="454"/>
      <c r="EG195" s="454"/>
      <c r="EH195" s="454"/>
      <c r="EI195" s="454"/>
      <c r="EJ195" s="454"/>
      <c r="EK195" s="454"/>
      <c r="EL195" s="454"/>
      <c r="EM195" s="454"/>
      <c r="EN195" s="454"/>
      <c r="EO195" s="454"/>
      <c r="EP195" s="454"/>
      <c r="EQ195" s="454"/>
      <c r="ER195" s="454"/>
      <c r="ES195" s="454"/>
      <c r="ET195" s="454"/>
      <c r="EU195" s="454"/>
      <c r="EV195" s="454"/>
      <c r="EW195" s="454"/>
      <c r="EX195" s="454"/>
      <c r="EY195" s="454"/>
      <c r="EZ195" s="454"/>
      <c r="FA195" s="454"/>
      <c r="FB195" s="454"/>
      <c r="FC195" s="454"/>
      <c r="FD195" s="454"/>
      <c r="FE195" s="454"/>
      <c r="FF195" s="454"/>
      <c r="FG195" s="454"/>
      <c r="FH195" s="454"/>
      <c r="FI195" s="454"/>
      <c r="FJ195" s="454"/>
      <c r="FK195" s="454"/>
      <c r="FL195" s="454"/>
      <c r="FM195" s="454"/>
      <c r="FN195" s="454"/>
      <c r="FO195" s="454"/>
      <c r="FP195" s="454"/>
      <c r="FQ195" s="454"/>
      <c r="FR195" s="454"/>
      <c r="FS195" s="454"/>
      <c r="FT195" s="454"/>
      <c r="FU195" s="454"/>
      <c r="FV195" s="454"/>
      <c r="FW195" s="454"/>
      <c r="FX195" s="454"/>
      <c r="FY195" s="454"/>
      <c r="FZ195" s="454"/>
      <c r="GA195" s="454"/>
      <c r="GB195" s="454"/>
      <c r="GC195" s="454"/>
      <c r="GD195" s="454"/>
      <c r="GE195" s="454"/>
      <c r="GF195" s="454"/>
      <c r="GG195" s="454"/>
      <c r="GH195" s="454"/>
      <c r="GI195" s="454"/>
      <c r="GJ195" s="454"/>
      <c r="GK195" s="454"/>
      <c r="GL195" s="454"/>
      <c r="GM195" s="454"/>
      <c r="GN195" s="454"/>
      <c r="GO195" s="454"/>
      <c r="GP195" s="454"/>
      <c r="GQ195" s="454"/>
      <c r="GR195" s="454"/>
      <c r="GS195" s="454"/>
      <c r="GT195" s="454"/>
      <c r="GU195" s="454"/>
      <c r="GV195" s="454"/>
      <c r="GW195" s="454"/>
      <c r="GX195" s="454"/>
      <c r="GY195" s="454"/>
      <c r="GZ195" s="454"/>
      <c r="HA195" s="454"/>
      <c r="HB195" s="454"/>
      <c r="HC195" s="454"/>
      <c r="HD195" s="454"/>
      <c r="HE195" s="454"/>
      <c r="HF195" s="454"/>
      <c r="HG195" s="454"/>
      <c r="HH195" s="454"/>
      <c r="HI195" s="454"/>
      <c r="HJ195" s="454"/>
      <c r="HK195" s="454"/>
      <c r="HL195" s="454"/>
      <c r="HM195" s="454"/>
      <c r="HN195" s="454"/>
      <c r="HO195" s="454"/>
      <c r="HP195" s="454"/>
      <c r="HQ195" s="454"/>
      <c r="HR195" s="454"/>
      <c r="HS195" s="454"/>
      <c r="HT195" s="454"/>
      <c r="HU195" s="454"/>
      <c r="HV195" s="454"/>
      <c r="HW195" s="454"/>
      <c r="HX195" s="454"/>
      <c r="HY195" s="454"/>
      <c r="HZ195" s="454"/>
      <c r="IA195" s="454"/>
      <c r="IB195" s="454"/>
      <c r="IC195" s="454"/>
      <c r="ID195" s="454"/>
      <c r="IE195" s="454"/>
      <c r="IF195" s="454"/>
      <c r="IG195" s="454"/>
      <c r="IH195" s="454"/>
      <c r="II195" s="454"/>
      <c r="IJ195" s="454"/>
      <c r="IK195" s="454"/>
      <c r="IL195" s="454"/>
      <c r="IM195" s="454"/>
      <c r="IN195" s="454"/>
      <c r="IO195" s="454"/>
      <c r="IP195" s="454"/>
      <c r="IQ195" s="454"/>
    </row>
    <row r="196" spans="2:251" x14ac:dyDescent="0.25">
      <c r="B196" s="460">
        <v>64</v>
      </c>
      <c r="C196" s="494" t="s">
        <v>634</v>
      </c>
      <c r="D196" s="462" t="s">
        <v>23</v>
      </c>
      <c r="E196" s="474">
        <f>E182</f>
        <v>120.88</v>
      </c>
      <c r="F196" s="464">
        <v>120</v>
      </c>
      <c r="G196" s="464">
        <f>E196*F196</f>
        <v>14505.599999999999</v>
      </c>
      <c r="H196" s="464"/>
      <c r="I196" s="464">
        <f t="shared" si="17"/>
        <v>0</v>
      </c>
      <c r="J196" s="464">
        <f t="shared" si="18"/>
        <v>14505.599999999999</v>
      </c>
      <c r="K196" s="465"/>
    </row>
    <row r="197" spans="2:251" x14ac:dyDescent="0.25">
      <c r="B197" s="460"/>
      <c r="C197" s="470" t="s">
        <v>714</v>
      </c>
      <c r="D197" s="462" t="s">
        <v>217</v>
      </c>
      <c r="E197" s="474">
        <f>ROUNDUP(E185*1.2/75,0)</f>
        <v>2</v>
      </c>
      <c r="F197" s="464"/>
      <c r="G197" s="464">
        <f>E197*F197</f>
        <v>0</v>
      </c>
      <c r="H197" s="464">
        <v>7700</v>
      </c>
      <c r="I197" s="464">
        <f t="shared" si="17"/>
        <v>15400</v>
      </c>
      <c r="J197" s="464">
        <f t="shared" si="18"/>
        <v>15400</v>
      </c>
      <c r="K197" s="465"/>
    </row>
    <row r="198" spans="2:251" x14ac:dyDescent="0.25">
      <c r="B198" s="460"/>
      <c r="C198" s="483" t="s">
        <v>693</v>
      </c>
      <c r="D198" s="471" t="s">
        <v>217</v>
      </c>
      <c r="E198" s="463">
        <v>6</v>
      </c>
      <c r="F198" s="464"/>
      <c r="G198" s="464">
        <f>F198*E198</f>
        <v>0</v>
      </c>
      <c r="H198" s="464">
        <v>1560</v>
      </c>
      <c r="I198" s="464">
        <f t="shared" si="17"/>
        <v>9360</v>
      </c>
      <c r="J198" s="464">
        <f t="shared" si="18"/>
        <v>9360</v>
      </c>
      <c r="K198" s="465"/>
    </row>
    <row r="199" spans="2:251" x14ac:dyDescent="0.25">
      <c r="B199" s="460">
        <v>65</v>
      </c>
      <c r="C199" s="494" t="s">
        <v>715</v>
      </c>
      <c r="D199" s="462" t="s">
        <v>23</v>
      </c>
      <c r="E199" s="474">
        <f>E182</f>
        <v>120.88</v>
      </c>
      <c r="F199" s="464">
        <v>180</v>
      </c>
      <c r="G199" s="464">
        <f t="shared" ref="G199:G215" si="19">E199*F199</f>
        <v>21758.399999999998</v>
      </c>
      <c r="H199" s="464"/>
      <c r="I199" s="464">
        <f t="shared" si="17"/>
        <v>0</v>
      </c>
      <c r="J199" s="464">
        <f t="shared" si="18"/>
        <v>21758.399999999998</v>
      </c>
      <c r="K199" s="465"/>
    </row>
    <row r="200" spans="2:251" x14ac:dyDescent="0.25">
      <c r="B200" s="460"/>
      <c r="C200" s="495" t="s">
        <v>713</v>
      </c>
      <c r="D200" s="471" t="s">
        <v>25</v>
      </c>
      <c r="E200" s="474">
        <v>0.52500000000000002</v>
      </c>
      <c r="F200" s="464"/>
      <c r="G200" s="464">
        <f t="shared" si="19"/>
        <v>0</v>
      </c>
      <c r="H200" s="464">
        <v>25000</v>
      </c>
      <c r="I200" s="464">
        <f t="shared" si="17"/>
        <v>13125</v>
      </c>
      <c r="J200" s="464">
        <f t="shared" si="18"/>
        <v>13125</v>
      </c>
      <c r="K200" s="465"/>
      <c r="L200" s="493"/>
      <c r="M200" s="493"/>
    </row>
    <row r="201" spans="2:251" s="454" customFormat="1" x14ac:dyDescent="0.25">
      <c r="B201" s="460">
        <v>66</v>
      </c>
      <c r="C201" s="494" t="s">
        <v>633</v>
      </c>
      <c r="D201" s="462" t="s">
        <v>23</v>
      </c>
      <c r="E201" s="474">
        <f>E199</f>
        <v>120.88</v>
      </c>
      <c r="F201" s="464">
        <v>350</v>
      </c>
      <c r="G201" s="464">
        <f t="shared" si="19"/>
        <v>42308</v>
      </c>
      <c r="H201" s="464"/>
      <c r="I201" s="464">
        <f t="shared" si="17"/>
        <v>0</v>
      </c>
      <c r="J201" s="464">
        <f t="shared" si="18"/>
        <v>42308</v>
      </c>
      <c r="K201" s="465"/>
    </row>
    <row r="202" spans="2:251" s="454" customFormat="1" x14ac:dyDescent="0.25">
      <c r="B202" s="460"/>
      <c r="C202" s="495" t="s">
        <v>716</v>
      </c>
      <c r="D202" s="471" t="s">
        <v>25</v>
      </c>
      <c r="E202" s="474">
        <f>E201/2*0.025*1.15</f>
        <v>1.7376499999999999</v>
      </c>
      <c r="F202" s="464"/>
      <c r="G202" s="464">
        <f t="shared" si="19"/>
        <v>0</v>
      </c>
      <c r="H202" s="464">
        <v>25000</v>
      </c>
      <c r="I202" s="464">
        <f t="shared" si="17"/>
        <v>43441.25</v>
      </c>
      <c r="J202" s="464">
        <f t="shared" si="18"/>
        <v>43441.25</v>
      </c>
      <c r="K202" s="465"/>
      <c r="L202" s="493"/>
      <c r="M202" s="493"/>
      <c r="N202" s="493"/>
    </row>
    <row r="203" spans="2:251" s="454" customFormat="1" x14ac:dyDescent="0.25">
      <c r="B203" s="460">
        <v>67</v>
      </c>
      <c r="C203" s="469" t="s">
        <v>636</v>
      </c>
      <c r="D203" s="462" t="s">
        <v>23</v>
      </c>
      <c r="E203" s="474">
        <f>E199</f>
        <v>120.88</v>
      </c>
      <c r="F203" s="464">
        <v>700</v>
      </c>
      <c r="G203" s="464">
        <f t="shared" si="19"/>
        <v>84616</v>
      </c>
      <c r="H203" s="464"/>
      <c r="I203" s="464">
        <f t="shared" si="17"/>
        <v>0</v>
      </c>
      <c r="J203" s="464">
        <f t="shared" si="18"/>
        <v>84616</v>
      </c>
      <c r="K203" s="465"/>
    </row>
    <row r="204" spans="2:251" s="454" customFormat="1" ht="26.4" x14ac:dyDescent="0.25">
      <c r="B204" s="460"/>
      <c r="C204" s="470" t="s">
        <v>637</v>
      </c>
      <c r="D204" s="462" t="s">
        <v>23</v>
      </c>
      <c r="E204" s="474">
        <f>E203</f>
        <v>120.88</v>
      </c>
      <c r="F204" s="464"/>
      <c r="G204" s="464">
        <f t="shared" si="19"/>
        <v>0</v>
      </c>
      <c r="H204" s="464">
        <v>1250</v>
      </c>
      <c r="I204" s="464">
        <f t="shared" si="17"/>
        <v>151100</v>
      </c>
      <c r="J204" s="464">
        <f t="shared" si="18"/>
        <v>151100</v>
      </c>
      <c r="K204" s="465"/>
    </row>
    <row r="205" spans="2:251" x14ac:dyDescent="0.25">
      <c r="B205" s="460">
        <v>68</v>
      </c>
      <c r="C205" s="469" t="s">
        <v>503</v>
      </c>
      <c r="D205" s="462" t="s">
        <v>10</v>
      </c>
      <c r="E205" s="474">
        <v>24</v>
      </c>
      <c r="F205" s="464">
        <v>900</v>
      </c>
      <c r="G205" s="464">
        <f t="shared" si="19"/>
        <v>21600</v>
      </c>
      <c r="H205" s="464"/>
      <c r="I205" s="464">
        <f t="shared" si="17"/>
        <v>0</v>
      </c>
      <c r="J205" s="464">
        <f t="shared" si="18"/>
        <v>21600</v>
      </c>
      <c r="K205" s="465"/>
    </row>
    <row r="206" spans="2:251" x14ac:dyDescent="0.25">
      <c r="B206" s="460"/>
      <c r="C206" s="470" t="s">
        <v>717</v>
      </c>
      <c r="D206" s="462" t="s">
        <v>10</v>
      </c>
      <c r="E206" s="474">
        <v>24</v>
      </c>
      <c r="F206" s="464"/>
      <c r="G206" s="464">
        <f t="shared" si="19"/>
        <v>0</v>
      </c>
      <c r="H206" s="464">
        <v>1080</v>
      </c>
      <c r="I206" s="464">
        <f t="shared" si="17"/>
        <v>25920</v>
      </c>
      <c r="J206" s="464">
        <f t="shared" si="18"/>
        <v>25920</v>
      </c>
      <c r="K206" s="465"/>
    </row>
    <row r="207" spans="2:251" x14ac:dyDescent="0.25">
      <c r="B207" s="460">
        <v>69</v>
      </c>
      <c r="C207" s="469" t="s">
        <v>303</v>
      </c>
      <c r="D207" s="462" t="s">
        <v>23</v>
      </c>
      <c r="E207" s="474">
        <f>52*1.3</f>
        <v>67.600000000000009</v>
      </c>
      <c r="F207" s="464">
        <v>100</v>
      </c>
      <c r="G207" s="464">
        <f t="shared" si="19"/>
        <v>6760.0000000000009</v>
      </c>
      <c r="H207" s="464"/>
      <c r="I207" s="464">
        <f t="shared" si="17"/>
        <v>0</v>
      </c>
      <c r="J207" s="464">
        <f t="shared" si="18"/>
        <v>6760.0000000000009</v>
      </c>
      <c r="K207" s="465"/>
    </row>
    <row r="208" spans="2:251" x14ac:dyDescent="0.25">
      <c r="B208" s="460"/>
      <c r="C208" s="470" t="s">
        <v>540</v>
      </c>
      <c r="D208" s="462" t="s">
        <v>217</v>
      </c>
      <c r="E208" s="474">
        <f>ROUNDUP(E207*1.2/36,0)</f>
        <v>3</v>
      </c>
      <c r="F208" s="464"/>
      <c r="G208" s="464">
        <f t="shared" si="19"/>
        <v>0</v>
      </c>
      <c r="H208" s="464">
        <v>2880</v>
      </c>
      <c r="I208" s="464">
        <f t="shared" si="17"/>
        <v>8640</v>
      </c>
      <c r="J208" s="464">
        <f t="shared" si="18"/>
        <v>8640</v>
      </c>
      <c r="K208" s="465"/>
    </row>
    <row r="209" spans="2:251" x14ac:dyDescent="0.25">
      <c r="B209" s="460">
        <v>70</v>
      </c>
      <c r="C209" s="469" t="s">
        <v>718</v>
      </c>
      <c r="D209" s="462" t="s">
        <v>639</v>
      </c>
      <c r="E209" s="474">
        <v>57.2</v>
      </c>
      <c r="F209" s="464">
        <v>350</v>
      </c>
      <c r="G209" s="464">
        <f t="shared" si="19"/>
        <v>20020</v>
      </c>
      <c r="H209" s="464"/>
      <c r="I209" s="464">
        <f t="shared" si="17"/>
        <v>0</v>
      </c>
      <c r="J209" s="464">
        <f t="shared" si="18"/>
        <v>20020</v>
      </c>
      <c r="K209" s="465"/>
    </row>
    <row r="210" spans="2:251" x14ac:dyDescent="0.25">
      <c r="B210" s="460"/>
      <c r="C210" s="470" t="s">
        <v>721</v>
      </c>
      <c r="D210" s="462" t="s">
        <v>23</v>
      </c>
      <c r="E210" s="474">
        <v>18.8</v>
      </c>
      <c r="F210" s="464"/>
      <c r="G210" s="464">
        <f t="shared" si="19"/>
        <v>0</v>
      </c>
      <c r="H210" s="464">
        <v>1180</v>
      </c>
      <c r="I210" s="464">
        <f t="shared" si="17"/>
        <v>22184</v>
      </c>
      <c r="J210" s="464">
        <f t="shared" si="18"/>
        <v>22184</v>
      </c>
      <c r="K210" s="487" t="s">
        <v>757</v>
      </c>
    </row>
    <row r="211" spans="2:251" x14ac:dyDescent="0.25">
      <c r="B211" s="460">
        <v>71</v>
      </c>
      <c r="C211" s="469" t="s">
        <v>645</v>
      </c>
      <c r="D211" s="462" t="s">
        <v>23</v>
      </c>
      <c r="E211" s="474">
        <v>52</v>
      </c>
      <c r="F211" s="464">
        <v>550</v>
      </c>
      <c r="G211" s="464">
        <f t="shared" si="19"/>
        <v>28600</v>
      </c>
      <c r="H211" s="464"/>
      <c r="I211" s="464">
        <f t="shared" si="17"/>
        <v>0</v>
      </c>
      <c r="J211" s="464">
        <f t="shared" si="18"/>
        <v>28600</v>
      </c>
      <c r="K211" s="465"/>
    </row>
    <row r="212" spans="2:251" x14ac:dyDescent="0.25">
      <c r="B212" s="460"/>
      <c r="C212" s="470" t="s">
        <v>721</v>
      </c>
      <c r="D212" s="462" t="s">
        <v>23</v>
      </c>
      <c r="E212" s="474">
        <f>E211*1.15</f>
        <v>59.8</v>
      </c>
      <c r="F212" s="464"/>
      <c r="G212" s="464">
        <f t="shared" si="19"/>
        <v>0</v>
      </c>
      <c r="H212" s="464">
        <v>1180</v>
      </c>
      <c r="I212" s="464">
        <f t="shared" si="17"/>
        <v>70564</v>
      </c>
      <c r="J212" s="464">
        <f t="shared" si="18"/>
        <v>70564</v>
      </c>
      <c r="K212" s="465"/>
    </row>
    <row r="213" spans="2:251" x14ac:dyDescent="0.25">
      <c r="B213" s="460">
        <v>72</v>
      </c>
      <c r="C213" s="469" t="s">
        <v>310</v>
      </c>
      <c r="D213" s="462" t="s">
        <v>24</v>
      </c>
      <c r="E213" s="474">
        <v>27</v>
      </c>
      <c r="F213" s="464">
        <v>500</v>
      </c>
      <c r="G213" s="464">
        <f t="shared" si="19"/>
        <v>13500</v>
      </c>
      <c r="H213" s="464"/>
      <c r="I213" s="464">
        <f t="shared" si="17"/>
        <v>0</v>
      </c>
      <c r="J213" s="464">
        <f t="shared" si="18"/>
        <v>13500</v>
      </c>
      <c r="K213" s="465"/>
    </row>
    <row r="214" spans="2:251" x14ac:dyDescent="0.25">
      <c r="B214" s="460">
        <v>73</v>
      </c>
      <c r="C214" s="469" t="s">
        <v>311</v>
      </c>
      <c r="D214" s="462" t="s">
        <v>10</v>
      </c>
      <c r="E214" s="464">
        <v>7</v>
      </c>
      <c r="F214" s="464">
        <v>2000</v>
      </c>
      <c r="G214" s="464">
        <f t="shared" si="19"/>
        <v>14000</v>
      </c>
      <c r="H214" s="464"/>
      <c r="I214" s="464">
        <f t="shared" si="17"/>
        <v>0</v>
      </c>
      <c r="J214" s="464">
        <f t="shared" si="18"/>
        <v>14000</v>
      </c>
      <c r="K214" s="465"/>
    </row>
    <row r="215" spans="2:251" x14ac:dyDescent="0.25">
      <c r="B215" s="460"/>
      <c r="C215" s="483" t="s">
        <v>719</v>
      </c>
      <c r="D215" s="471" t="s">
        <v>479</v>
      </c>
      <c r="E215" s="471">
        <v>1</v>
      </c>
      <c r="F215" s="485"/>
      <c r="G215" s="464">
        <f t="shared" si="19"/>
        <v>0</v>
      </c>
      <c r="H215" s="485">
        <v>25000</v>
      </c>
      <c r="I215" s="464">
        <f t="shared" si="17"/>
        <v>25000</v>
      </c>
      <c r="J215" s="464">
        <f t="shared" si="18"/>
        <v>25000</v>
      </c>
      <c r="K215" s="465"/>
    </row>
    <row r="216" spans="2:251" s="486" customFormat="1" x14ac:dyDescent="0.25">
      <c r="B216" s="460">
        <v>74</v>
      </c>
      <c r="C216" s="466" t="s">
        <v>772</v>
      </c>
      <c r="D216" s="471" t="s">
        <v>25</v>
      </c>
      <c r="E216" s="496">
        <f>E183+E184+E191+E200+E202</f>
        <v>7.0137</v>
      </c>
      <c r="F216" s="485">
        <v>2500</v>
      </c>
      <c r="G216" s="464">
        <f>F216*E216</f>
        <v>17534.25</v>
      </c>
      <c r="H216" s="485"/>
      <c r="I216" s="464">
        <f>H216*E216</f>
        <v>0</v>
      </c>
      <c r="J216" s="464">
        <f t="shared" si="18"/>
        <v>17534.25</v>
      </c>
      <c r="K216" s="465"/>
      <c r="L216" s="454"/>
      <c r="M216" s="454"/>
      <c r="N216" s="454"/>
      <c r="O216" s="454"/>
      <c r="P216" s="454"/>
      <c r="Q216" s="454"/>
      <c r="R216" s="454"/>
      <c r="S216" s="454"/>
      <c r="T216" s="454"/>
      <c r="U216" s="454"/>
      <c r="V216" s="454"/>
      <c r="W216" s="454"/>
      <c r="X216" s="454"/>
      <c r="Y216" s="454"/>
      <c r="Z216" s="454"/>
      <c r="AA216" s="454"/>
      <c r="AB216" s="454"/>
      <c r="AC216" s="454"/>
      <c r="AD216" s="454"/>
      <c r="AE216" s="454"/>
      <c r="AF216" s="454"/>
      <c r="AG216" s="454"/>
      <c r="AH216" s="454"/>
      <c r="AI216" s="454"/>
      <c r="AJ216" s="454"/>
      <c r="AK216" s="454"/>
      <c r="AL216" s="454"/>
      <c r="AM216" s="454"/>
      <c r="AN216" s="454"/>
      <c r="AO216" s="454"/>
      <c r="AP216" s="454"/>
      <c r="AQ216" s="454"/>
      <c r="AR216" s="454"/>
      <c r="AS216" s="454"/>
      <c r="AT216" s="454"/>
      <c r="AU216" s="454"/>
      <c r="AV216" s="454"/>
      <c r="AW216" s="454"/>
      <c r="AX216" s="454"/>
      <c r="AY216" s="454"/>
      <c r="AZ216" s="454"/>
      <c r="BA216" s="454"/>
      <c r="BB216" s="454"/>
      <c r="BC216" s="454"/>
      <c r="BD216" s="454"/>
      <c r="BE216" s="454"/>
      <c r="BF216" s="454"/>
      <c r="BG216" s="454"/>
      <c r="BH216" s="454"/>
      <c r="BI216" s="454"/>
      <c r="BJ216" s="454"/>
      <c r="BK216" s="454"/>
      <c r="BL216" s="454"/>
      <c r="BM216" s="454"/>
      <c r="BN216" s="454"/>
      <c r="BO216" s="454"/>
      <c r="BP216" s="454"/>
      <c r="BQ216" s="454"/>
      <c r="BR216" s="454"/>
      <c r="BS216" s="454"/>
      <c r="BT216" s="454"/>
      <c r="BU216" s="454"/>
      <c r="BV216" s="454"/>
      <c r="BW216" s="454"/>
      <c r="BX216" s="454"/>
      <c r="BY216" s="454"/>
      <c r="BZ216" s="454"/>
      <c r="CA216" s="454"/>
      <c r="CB216" s="454"/>
      <c r="CC216" s="454"/>
      <c r="CD216" s="454"/>
      <c r="CE216" s="454"/>
      <c r="CF216" s="454"/>
      <c r="CG216" s="454"/>
      <c r="CH216" s="454"/>
      <c r="CI216" s="454"/>
      <c r="CJ216" s="454"/>
      <c r="CK216" s="454"/>
      <c r="CL216" s="454"/>
      <c r="CM216" s="454"/>
      <c r="CN216" s="454"/>
      <c r="CO216" s="454"/>
      <c r="CP216" s="454"/>
      <c r="CQ216" s="454"/>
      <c r="CR216" s="454"/>
      <c r="CS216" s="454"/>
      <c r="CT216" s="454"/>
      <c r="CU216" s="454"/>
      <c r="CV216" s="454"/>
      <c r="CW216" s="454"/>
      <c r="CX216" s="454"/>
      <c r="CY216" s="454"/>
      <c r="CZ216" s="454"/>
      <c r="DA216" s="454"/>
      <c r="DB216" s="454"/>
      <c r="DC216" s="454"/>
      <c r="DD216" s="454"/>
      <c r="DE216" s="454"/>
      <c r="DF216" s="454"/>
      <c r="DG216" s="454"/>
      <c r="DH216" s="454"/>
      <c r="DI216" s="454"/>
      <c r="DJ216" s="454"/>
      <c r="DK216" s="454"/>
      <c r="DL216" s="454"/>
      <c r="DM216" s="454"/>
      <c r="DN216" s="454"/>
      <c r="DO216" s="454"/>
      <c r="DP216" s="454"/>
      <c r="DQ216" s="454"/>
      <c r="DR216" s="454"/>
      <c r="DS216" s="454"/>
      <c r="DT216" s="454"/>
      <c r="DU216" s="454"/>
      <c r="DV216" s="454"/>
      <c r="DW216" s="454"/>
      <c r="DX216" s="454"/>
      <c r="DY216" s="454"/>
      <c r="DZ216" s="454"/>
      <c r="EA216" s="454"/>
      <c r="EB216" s="454"/>
      <c r="EC216" s="454"/>
      <c r="ED216" s="454"/>
      <c r="EE216" s="454"/>
      <c r="EF216" s="454"/>
      <c r="EG216" s="454"/>
      <c r="EH216" s="454"/>
      <c r="EI216" s="454"/>
      <c r="EJ216" s="454"/>
      <c r="EK216" s="454"/>
      <c r="EL216" s="454"/>
      <c r="EM216" s="454"/>
      <c r="EN216" s="454"/>
      <c r="EO216" s="454"/>
      <c r="EP216" s="454"/>
      <c r="EQ216" s="454"/>
      <c r="ER216" s="454"/>
      <c r="ES216" s="454"/>
      <c r="ET216" s="454"/>
      <c r="EU216" s="454"/>
      <c r="EV216" s="454"/>
      <c r="EW216" s="454"/>
      <c r="EX216" s="454"/>
      <c r="EY216" s="454"/>
      <c r="EZ216" s="454"/>
      <c r="FA216" s="454"/>
      <c r="FB216" s="454"/>
      <c r="FC216" s="454"/>
      <c r="FD216" s="454"/>
      <c r="FE216" s="454"/>
      <c r="FF216" s="454"/>
      <c r="FG216" s="454"/>
      <c r="FH216" s="454"/>
      <c r="FI216" s="454"/>
      <c r="FJ216" s="454"/>
      <c r="FK216" s="454"/>
      <c r="FL216" s="454"/>
      <c r="FM216" s="454"/>
      <c r="FN216" s="454"/>
      <c r="FO216" s="454"/>
      <c r="FP216" s="454"/>
      <c r="FQ216" s="454"/>
      <c r="FR216" s="454"/>
      <c r="FS216" s="454"/>
      <c r="FT216" s="454"/>
      <c r="FU216" s="454"/>
      <c r="FV216" s="454"/>
      <c r="FW216" s="454"/>
      <c r="FX216" s="454"/>
      <c r="FY216" s="454"/>
      <c r="FZ216" s="454"/>
      <c r="GA216" s="454"/>
      <c r="GB216" s="454"/>
      <c r="GC216" s="454"/>
      <c r="GD216" s="454"/>
      <c r="GE216" s="454"/>
      <c r="GF216" s="454"/>
      <c r="GG216" s="454"/>
      <c r="GH216" s="454"/>
      <c r="GI216" s="454"/>
      <c r="GJ216" s="454"/>
      <c r="GK216" s="454"/>
      <c r="GL216" s="454"/>
      <c r="GM216" s="454"/>
      <c r="GN216" s="454"/>
      <c r="GO216" s="454"/>
      <c r="GP216" s="454"/>
      <c r="GQ216" s="454"/>
      <c r="GR216" s="454"/>
      <c r="GS216" s="454"/>
      <c r="GT216" s="454"/>
      <c r="GU216" s="454"/>
      <c r="GV216" s="454"/>
      <c r="GW216" s="454"/>
      <c r="GX216" s="454"/>
      <c r="GY216" s="454"/>
      <c r="GZ216" s="454"/>
      <c r="HA216" s="454"/>
      <c r="HB216" s="454"/>
      <c r="HC216" s="454"/>
      <c r="HD216" s="454"/>
      <c r="HE216" s="454"/>
      <c r="HF216" s="454"/>
      <c r="HG216" s="454"/>
      <c r="HH216" s="454"/>
      <c r="HI216" s="454"/>
      <c r="HJ216" s="454"/>
      <c r="HK216" s="454"/>
      <c r="HL216" s="454"/>
      <c r="HM216" s="454"/>
      <c r="HN216" s="454"/>
      <c r="HO216" s="454"/>
      <c r="HP216" s="454"/>
      <c r="HQ216" s="454"/>
      <c r="HR216" s="454"/>
      <c r="HS216" s="454"/>
      <c r="HT216" s="454"/>
      <c r="HU216" s="454"/>
      <c r="HV216" s="454"/>
      <c r="HW216" s="454"/>
      <c r="HX216" s="454"/>
      <c r="HY216" s="454"/>
      <c r="HZ216" s="454"/>
      <c r="IA216" s="454"/>
      <c r="IB216" s="454"/>
      <c r="IC216" s="454"/>
      <c r="ID216" s="454"/>
      <c r="IE216" s="454"/>
      <c r="IF216" s="454"/>
      <c r="IG216" s="454"/>
      <c r="IH216" s="454"/>
      <c r="II216" s="454"/>
      <c r="IJ216" s="454"/>
      <c r="IK216" s="454"/>
      <c r="IL216" s="454"/>
      <c r="IM216" s="454"/>
      <c r="IN216" s="454"/>
      <c r="IO216" s="454"/>
      <c r="IP216" s="454"/>
      <c r="IQ216" s="454"/>
    </row>
    <row r="217" spans="2:251" s="486" customFormat="1" ht="26.4" x14ac:dyDescent="0.25">
      <c r="B217" s="460"/>
      <c r="C217" s="483" t="s">
        <v>770</v>
      </c>
      <c r="D217" s="471" t="s">
        <v>344</v>
      </c>
      <c r="E217" s="496">
        <f>ROUNDUP(490*0.3/50,0)</f>
        <v>3</v>
      </c>
      <c r="F217" s="485"/>
      <c r="G217" s="464"/>
      <c r="H217" s="485">
        <v>2870</v>
      </c>
      <c r="I217" s="464">
        <f>H217*E217</f>
        <v>8610</v>
      </c>
      <c r="J217" s="464">
        <f t="shared" si="18"/>
        <v>8610</v>
      </c>
      <c r="K217" s="487" t="s">
        <v>771</v>
      </c>
      <c r="L217" s="454"/>
      <c r="M217" s="454"/>
      <c r="N217" s="454"/>
      <c r="O217" s="454"/>
      <c r="P217" s="454"/>
      <c r="Q217" s="454"/>
      <c r="R217" s="454"/>
      <c r="S217" s="454"/>
      <c r="T217" s="454"/>
      <c r="U217" s="454"/>
      <c r="V217" s="454"/>
      <c r="W217" s="454"/>
      <c r="X217" s="454"/>
      <c r="Y217" s="454"/>
      <c r="Z217" s="454"/>
      <c r="AA217" s="454"/>
      <c r="AB217" s="454"/>
      <c r="AC217" s="454"/>
      <c r="AD217" s="454"/>
      <c r="AE217" s="454"/>
      <c r="AF217" s="454"/>
      <c r="AG217" s="454"/>
      <c r="AH217" s="454"/>
      <c r="AI217" s="454"/>
      <c r="AJ217" s="454"/>
      <c r="AK217" s="454"/>
      <c r="AL217" s="454"/>
      <c r="AM217" s="454"/>
      <c r="AN217" s="454"/>
      <c r="AO217" s="454"/>
      <c r="AP217" s="454"/>
      <c r="AQ217" s="454"/>
      <c r="AR217" s="454"/>
      <c r="AS217" s="454"/>
      <c r="AT217" s="454"/>
      <c r="AU217" s="454"/>
      <c r="AV217" s="454"/>
      <c r="AW217" s="454"/>
      <c r="AX217" s="454"/>
      <c r="AY217" s="454"/>
      <c r="AZ217" s="454"/>
      <c r="BA217" s="454"/>
      <c r="BB217" s="454"/>
      <c r="BC217" s="454"/>
      <c r="BD217" s="454"/>
      <c r="BE217" s="454"/>
      <c r="BF217" s="454"/>
      <c r="BG217" s="454"/>
      <c r="BH217" s="454"/>
      <c r="BI217" s="454"/>
      <c r="BJ217" s="454"/>
      <c r="BK217" s="454"/>
      <c r="BL217" s="454"/>
      <c r="BM217" s="454"/>
      <c r="BN217" s="454"/>
      <c r="BO217" s="454"/>
      <c r="BP217" s="454"/>
      <c r="BQ217" s="454"/>
      <c r="BR217" s="454"/>
      <c r="BS217" s="454"/>
      <c r="BT217" s="454"/>
      <c r="BU217" s="454"/>
      <c r="BV217" s="454"/>
      <c r="BW217" s="454"/>
      <c r="BX217" s="454"/>
      <c r="BY217" s="454"/>
      <c r="BZ217" s="454"/>
      <c r="CA217" s="454"/>
      <c r="CB217" s="454"/>
      <c r="CC217" s="454"/>
      <c r="CD217" s="454"/>
      <c r="CE217" s="454"/>
      <c r="CF217" s="454"/>
      <c r="CG217" s="454"/>
      <c r="CH217" s="454"/>
      <c r="CI217" s="454"/>
      <c r="CJ217" s="454"/>
      <c r="CK217" s="454"/>
      <c r="CL217" s="454"/>
      <c r="CM217" s="454"/>
      <c r="CN217" s="454"/>
      <c r="CO217" s="454"/>
      <c r="CP217" s="454"/>
      <c r="CQ217" s="454"/>
      <c r="CR217" s="454"/>
      <c r="CS217" s="454"/>
      <c r="CT217" s="454"/>
      <c r="CU217" s="454"/>
      <c r="CV217" s="454"/>
      <c r="CW217" s="454"/>
      <c r="CX217" s="454"/>
      <c r="CY217" s="454"/>
      <c r="CZ217" s="454"/>
      <c r="DA217" s="454"/>
      <c r="DB217" s="454"/>
      <c r="DC217" s="454"/>
      <c r="DD217" s="454"/>
      <c r="DE217" s="454"/>
      <c r="DF217" s="454"/>
      <c r="DG217" s="454"/>
      <c r="DH217" s="454"/>
      <c r="DI217" s="454"/>
      <c r="DJ217" s="454"/>
      <c r="DK217" s="454"/>
      <c r="DL217" s="454"/>
      <c r="DM217" s="454"/>
      <c r="DN217" s="454"/>
      <c r="DO217" s="454"/>
      <c r="DP217" s="454"/>
      <c r="DQ217" s="454"/>
      <c r="DR217" s="454"/>
      <c r="DS217" s="454"/>
      <c r="DT217" s="454"/>
      <c r="DU217" s="454"/>
      <c r="DV217" s="454"/>
      <c r="DW217" s="454"/>
      <c r="DX217" s="454"/>
      <c r="DY217" s="454"/>
      <c r="DZ217" s="454"/>
      <c r="EA217" s="454"/>
      <c r="EB217" s="454"/>
      <c r="EC217" s="454"/>
      <c r="ED217" s="454"/>
      <c r="EE217" s="454"/>
      <c r="EF217" s="454"/>
      <c r="EG217" s="454"/>
      <c r="EH217" s="454"/>
      <c r="EI217" s="454"/>
      <c r="EJ217" s="454"/>
      <c r="EK217" s="454"/>
      <c r="EL217" s="454"/>
      <c r="EM217" s="454"/>
      <c r="EN217" s="454"/>
      <c r="EO217" s="454"/>
      <c r="EP217" s="454"/>
      <c r="EQ217" s="454"/>
      <c r="ER217" s="454"/>
      <c r="ES217" s="454"/>
      <c r="ET217" s="454"/>
      <c r="EU217" s="454"/>
      <c r="EV217" s="454"/>
      <c r="EW217" s="454"/>
      <c r="EX217" s="454"/>
      <c r="EY217" s="454"/>
      <c r="EZ217" s="454"/>
      <c r="FA217" s="454"/>
      <c r="FB217" s="454"/>
      <c r="FC217" s="454"/>
      <c r="FD217" s="454"/>
      <c r="FE217" s="454"/>
      <c r="FF217" s="454"/>
      <c r="FG217" s="454"/>
      <c r="FH217" s="454"/>
      <c r="FI217" s="454"/>
      <c r="FJ217" s="454"/>
      <c r="FK217" s="454"/>
      <c r="FL217" s="454"/>
      <c r="FM217" s="454"/>
      <c r="FN217" s="454"/>
      <c r="FO217" s="454"/>
      <c r="FP217" s="454"/>
      <c r="FQ217" s="454"/>
      <c r="FR217" s="454"/>
      <c r="FS217" s="454"/>
      <c r="FT217" s="454"/>
      <c r="FU217" s="454"/>
      <c r="FV217" s="454"/>
      <c r="FW217" s="454"/>
      <c r="FX217" s="454"/>
      <c r="FY217" s="454"/>
      <c r="FZ217" s="454"/>
      <c r="GA217" s="454"/>
      <c r="GB217" s="454"/>
      <c r="GC217" s="454"/>
      <c r="GD217" s="454"/>
      <c r="GE217" s="454"/>
      <c r="GF217" s="454"/>
      <c r="GG217" s="454"/>
      <c r="GH217" s="454"/>
      <c r="GI217" s="454"/>
      <c r="GJ217" s="454"/>
      <c r="GK217" s="454"/>
      <c r="GL217" s="454"/>
      <c r="GM217" s="454"/>
      <c r="GN217" s="454"/>
      <c r="GO217" s="454"/>
      <c r="GP217" s="454"/>
      <c r="GQ217" s="454"/>
      <c r="GR217" s="454"/>
      <c r="GS217" s="454"/>
      <c r="GT217" s="454"/>
      <c r="GU217" s="454"/>
      <c r="GV217" s="454"/>
      <c r="GW217" s="454"/>
      <c r="GX217" s="454"/>
      <c r="GY217" s="454"/>
      <c r="GZ217" s="454"/>
      <c r="HA217" s="454"/>
      <c r="HB217" s="454"/>
      <c r="HC217" s="454"/>
      <c r="HD217" s="454"/>
      <c r="HE217" s="454"/>
      <c r="HF217" s="454"/>
      <c r="HG217" s="454"/>
      <c r="HH217" s="454"/>
      <c r="HI217" s="454"/>
      <c r="HJ217" s="454"/>
      <c r="HK217" s="454"/>
      <c r="HL217" s="454"/>
      <c r="HM217" s="454"/>
      <c r="HN217" s="454"/>
      <c r="HO217" s="454"/>
      <c r="HP217" s="454"/>
      <c r="HQ217" s="454"/>
      <c r="HR217" s="454"/>
      <c r="HS217" s="454"/>
      <c r="HT217" s="454"/>
      <c r="HU217" s="454"/>
      <c r="HV217" s="454"/>
      <c r="HW217" s="454"/>
      <c r="HX217" s="454"/>
      <c r="HY217" s="454"/>
      <c r="HZ217" s="454"/>
      <c r="IA217" s="454"/>
      <c r="IB217" s="454"/>
      <c r="IC217" s="454"/>
      <c r="ID217" s="454"/>
      <c r="IE217" s="454"/>
      <c r="IF217" s="454"/>
      <c r="IG217" s="454"/>
      <c r="IH217" s="454"/>
      <c r="II217" s="454"/>
      <c r="IJ217" s="454"/>
      <c r="IK217" s="454"/>
      <c r="IL217" s="454"/>
      <c r="IM217" s="454"/>
      <c r="IN217" s="454"/>
      <c r="IO217" s="454"/>
      <c r="IP217" s="454"/>
      <c r="IQ217" s="454"/>
    </row>
    <row r="218" spans="2:251" x14ac:dyDescent="0.25">
      <c r="B218" s="460"/>
      <c r="C218" s="483" t="s">
        <v>632</v>
      </c>
      <c r="D218" s="471" t="s">
        <v>479</v>
      </c>
      <c r="E218" s="471">
        <v>3</v>
      </c>
      <c r="F218" s="485"/>
      <c r="G218" s="464">
        <f>E218*F218</f>
        <v>0</v>
      </c>
      <c r="H218" s="485">
        <v>12000</v>
      </c>
      <c r="I218" s="464">
        <f>E218*H218</f>
        <v>36000</v>
      </c>
      <c r="J218" s="464">
        <f t="shared" si="18"/>
        <v>36000</v>
      </c>
      <c r="K218" s="465"/>
    </row>
    <row r="219" spans="2:251" s="490" customFormat="1" x14ac:dyDescent="0.25">
      <c r="B219" s="488">
        <v>75</v>
      </c>
      <c r="C219" s="469" t="s">
        <v>701</v>
      </c>
      <c r="D219" s="464" t="s">
        <v>702</v>
      </c>
      <c r="E219" s="464">
        <v>2</v>
      </c>
      <c r="F219" s="464">
        <v>6000</v>
      </c>
      <c r="G219" s="464">
        <f>F219*E219</f>
        <v>12000</v>
      </c>
      <c r="H219" s="464">
        <v>500</v>
      </c>
      <c r="I219" s="464">
        <f>E219*H219</f>
        <v>1000</v>
      </c>
      <c r="J219" s="464">
        <f t="shared" si="18"/>
        <v>13000</v>
      </c>
      <c r="K219" s="489"/>
    </row>
    <row r="220" spans="2:251" s="490" customFormat="1" x14ac:dyDescent="0.25">
      <c r="B220" s="488">
        <v>76</v>
      </c>
      <c r="C220" s="469" t="s">
        <v>703</v>
      </c>
      <c r="D220" s="464" t="s">
        <v>702</v>
      </c>
      <c r="E220" s="464">
        <v>2</v>
      </c>
      <c r="F220" s="464">
        <v>8000</v>
      </c>
      <c r="G220" s="464">
        <f>F220*E220</f>
        <v>16000</v>
      </c>
      <c r="H220" s="464"/>
      <c r="I220" s="464">
        <f>E220*H220</f>
        <v>0</v>
      </c>
      <c r="J220" s="464">
        <f t="shared" si="18"/>
        <v>16000</v>
      </c>
      <c r="K220" s="489"/>
    </row>
    <row r="221" spans="2:251" x14ac:dyDescent="0.25">
      <c r="B221" s="640" t="s">
        <v>635</v>
      </c>
      <c r="C221" s="640"/>
      <c r="D221" s="640"/>
      <c r="E221" s="640"/>
      <c r="F221" s="640"/>
      <c r="G221" s="640"/>
      <c r="H221" s="640"/>
      <c r="I221" s="640"/>
      <c r="J221" s="464">
        <f>SUM(G182:G220)</f>
        <v>487705.75</v>
      </c>
      <c r="K221" s="465"/>
    </row>
    <row r="222" spans="2:251" x14ac:dyDescent="0.25">
      <c r="B222" s="640" t="s">
        <v>471</v>
      </c>
      <c r="C222" s="640"/>
      <c r="D222" s="640"/>
      <c r="E222" s="640"/>
      <c r="F222" s="640"/>
      <c r="G222" s="640"/>
      <c r="H222" s="640"/>
      <c r="I222" s="640"/>
      <c r="J222" s="464">
        <f>SUM(I182:I220)</f>
        <v>599600.5</v>
      </c>
      <c r="K222" s="465"/>
    </row>
    <row r="223" spans="2:251" x14ac:dyDescent="0.25">
      <c r="B223" s="460"/>
      <c r="C223" s="470" t="s">
        <v>248</v>
      </c>
      <c r="D223" s="462"/>
      <c r="E223" s="481">
        <v>0.08</v>
      </c>
      <c r="F223" s="464"/>
      <c r="G223" s="464"/>
      <c r="H223" s="464"/>
      <c r="I223" s="464"/>
      <c r="J223" s="464">
        <f>SUM(J222)*$E223</f>
        <v>47968.04</v>
      </c>
      <c r="K223" s="465"/>
    </row>
    <row r="224" spans="2:251" x14ac:dyDescent="0.25">
      <c r="B224" s="460"/>
      <c r="C224" s="470" t="s">
        <v>631</v>
      </c>
      <c r="D224" s="462"/>
      <c r="E224" s="481">
        <v>0.03</v>
      </c>
      <c r="F224" s="464"/>
      <c r="G224" s="464"/>
      <c r="H224" s="464"/>
      <c r="I224" s="464"/>
      <c r="J224" s="464">
        <f>SUM(J221:J223)*$E224</f>
        <v>34058.2287</v>
      </c>
      <c r="K224" s="465"/>
    </row>
    <row r="225" spans="2:11" x14ac:dyDescent="0.25">
      <c r="B225" s="460"/>
      <c r="C225" s="470" t="s">
        <v>629</v>
      </c>
      <c r="D225" s="462"/>
      <c r="E225" s="481">
        <v>0.02</v>
      </c>
      <c r="F225" s="464"/>
      <c r="G225" s="464"/>
      <c r="H225" s="464"/>
      <c r="I225" s="464"/>
      <c r="J225" s="464">
        <f>SUM(J221:J224)*$E225</f>
        <v>23386.650374000004</v>
      </c>
      <c r="K225" s="465"/>
    </row>
    <row r="226" spans="2:11" x14ac:dyDescent="0.25">
      <c r="B226" s="640" t="s">
        <v>520</v>
      </c>
      <c r="C226" s="640"/>
      <c r="D226" s="640"/>
      <c r="E226" s="640"/>
      <c r="F226" s="640"/>
      <c r="G226" s="640"/>
      <c r="H226" s="640"/>
      <c r="I226" s="640"/>
      <c r="J226" s="482">
        <f>SUM(J221:J225)</f>
        <v>1192719.1690740001</v>
      </c>
      <c r="K226" s="465"/>
    </row>
    <row r="227" spans="2:11" x14ac:dyDescent="0.25">
      <c r="B227" s="648" t="s">
        <v>650</v>
      </c>
      <c r="C227" s="643" t="s">
        <v>0</v>
      </c>
      <c r="D227" s="643" t="s">
        <v>22</v>
      </c>
      <c r="E227" s="649" t="s">
        <v>184</v>
      </c>
      <c r="F227" s="644" t="s">
        <v>649</v>
      </c>
      <c r="G227" s="644"/>
      <c r="H227" s="642" t="s">
        <v>215</v>
      </c>
      <c r="I227" s="642"/>
      <c r="J227" s="642" t="s">
        <v>777</v>
      </c>
      <c r="K227" s="642" t="s">
        <v>182</v>
      </c>
    </row>
    <row r="228" spans="2:11" x14ac:dyDescent="0.25">
      <c r="B228" s="648"/>
      <c r="C228" s="643"/>
      <c r="D228" s="643"/>
      <c r="E228" s="649"/>
      <c r="F228" s="458" t="s">
        <v>476</v>
      </c>
      <c r="G228" s="458" t="s">
        <v>776</v>
      </c>
      <c r="H228" s="458" t="s">
        <v>476</v>
      </c>
      <c r="I228" s="458" t="s">
        <v>823</v>
      </c>
      <c r="J228" s="642"/>
      <c r="K228" s="642"/>
    </row>
    <row r="229" spans="2:11" x14ac:dyDescent="0.25">
      <c r="B229" s="641" t="s">
        <v>664</v>
      </c>
      <c r="C229" s="641"/>
      <c r="D229" s="641"/>
      <c r="E229" s="641"/>
      <c r="F229" s="641"/>
      <c r="G229" s="641"/>
      <c r="H229" s="641"/>
      <c r="I229" s="641"/>
      <c r="J229" s="641"/>
      <c r="K229" s="459"/>
    </row>
    <row r="230" spans="2:11" x14ac:dyDescent="0.25">
      <c r="B230" s="460">
        <v>77</v>
      </c>
      <c r="C230" s="469" t="s">
        <v>638</v>
      </c>
      <c r="D230" s="462" t="s">
        <v>23</v>
      </c>
      <c r="E230" s="474">
        <v>25.55</v>
      </c>
      <c r="F230" s="464">
        <v>2500</v>
      </c>
      <c r="G230" s="464">
        <f>E230*F230</f>
        <v>63875</v>
      </c>
      <c r="H230" s="464"/>
      <c r="I230" s="464">
        <f t="shared" ref="I230:I237" si="20">E230*H230</f>
        <v>0</v>
      </c>
      <c r="J230" s="464">
        <f t="shared" ref="J230:J237" si="21">I230+G230</f>
        <v>63875</v>
      </c>
      <c r="K230" s="465"/>
    </row>
    <row r="231" spans="2:11" ht="26.4" x14ac:dyDescent="0.25">
      <c r="B231" s="460"/>
      <c r="C231" s="470" t="s">
        <v>720</v>
      </c>
      <c r="D231" s="462" t="s">
        <v>23</v>
      </c>
      <c r="E231" s="474">
        <f>E230</f>
        <v>25.55</v>
      </c>
      <c r="F231" s="464"/>
      <c r="G231" s="464">
        <f>E231*F231</f>
        <v>0</v>
      </c>
      <c r="H231" s="464">
        <v>11000</v>
      </c>
      <c r="I231" s="464">
        <f t="shared" si="20"/>
        <v>281050</v>
      </c>
      <c r="J231" s="464">
        <f t="shared" si="21"/>
        <v>281050</v>
      </c>
      <c r="K231" s="465"/>
    </row>
    <row r="232" spans="2:11" x14ac:dyDescent="0.25">
      <c r="B232" s="460">
        <v>78</v>
      </c>
      <c r="C232" s="469" t="s">
        <v>339</v>
      </c>
      <c r="D232" s="462" t="s">
        <v>34</v>
      </c>
      <c r="E232" s="497">
        <v>17</v>
      </c>
      <c r="F232" s="464">
        <v>300</v>
      </c>
      <c r="G232" s="464">
        <f>E232*F232</f>
        <v>5100</v>
      </c>
      <c r="H232" s="464"/>
      <c r="I232" s="464">
        <f t="shared" si="20"/>
        <v>0</v>
      </c>
      <c r="J232" s="464">
        <f t="shared" si="21"/>
        <v>5100</v>
      </c>
      <c r="K232" s="465"/>
    </row>
    <row r="233" spans="2:11" x14ac:dyDescent="0.25">
      <c r="B233" s="460"/>
      <c r="C233" s="470" t="s">
        <v>758</v>
      </c>
      <c r="D233" s="462" t="s">
        <v>10</v>
      </c>
      <c r="E233" s="464">
        <v>13</v>
      </c>
      <c r="F233" s="464"/>
      <c r="G233" s="464"/>
      <c r="H233" s="464">
        <v>300</v>
      </c>
      <c r="I233" s="464">
        <f t="shared" si="20"/>
        <v>3900</v>
      </c>
      <c r="J233" s="464">
        <f t="shared" si="21"/>
        <v>3900</v>
      </c>
      <c r="K233" s="465"/>
    </row>
    <row r="234" spans="2:11" x14ac:dyDescent="0.25">
      <c r="B234" s="460">
        <v>79</v>
      </c>
      <c r="C234" s="469" t="s">
        <v>605</v>
      </c>
      <c r="D234" s="462" t="s">
        <v>10</v>
      </c>
      <c r="E234" s="464">
        <v>2</v>
      </c>
      <c r="F234" s="464">
        <v>5000</v>
      </c>
      <c r="G234" s="464">
        <f>E234*F234</f>
        <v>10000</v>
      </c>
      <c r="H234" s="464"/>
      <c r="I234" s="464">
        <f t="shared" si="20"/>
        <v>0</v>
      </c>
      <c r="J234" s="464">
        <f t="shared" si="21"/>
        <v>10000</v>
      </c>
      <c r="K234" s="465"/>
    </row>
    <row r="235" spans="2:11" x14ac:dyDescent="0.25">
      <c r="B235" s="460"/>
      <c r="C235" s="483" t="s">
        <v>644</v>
      </c>
      <c r="D235" s="462" t="s">
        <v>10</v>
      </c>
      <c r="E235" s="464">
        <f>E234</f>
        <v>2</v>
      </c>
      <c r="F235" s="464"/>
      <c r="G235" s="464">
        <f>E235*F235</f>
        <v>0</v>
      </c>
      <c r="H235" s="464">
        <v>48000</v>
      </c>
      <c r="I235" s="464">
        <f t="shared" si="20"/>
        <v>96000</v>
      </c>
      <c r="J235" s="464">
        <f t="shared" si="21"/>
        <v>96000</v>
      </c>
      <c r="K235" s="465"/>
    </row>
    <row r="236" spans="2:11" s="490" customFormat="1" x14ac:dyDescent="0.25">
      <c r="B236" s="488">
        <v>80</v>
      </c>
      <c r="C236" s="469" t="s">
        <v>703</v>
      </c>
      <c r="D236" s="464" t="s">
        <v>702</v>
      </c>
      <c r="E236" s="464">
        <v>1</v>
      </c>
      <c r="F236" s="464">
        <v>4000</v>
      </c>
      <c r="G236" s="464">
        <v>4000</v>
      </c>
      <c r="H236" s="464"/>
      <c r="I236" s="464">
        <f t="shared" si="20"/>
        <v>0</v>
      </c>
      <c r="J236" s="464">
        <f t="shared" ref="J236" si="22">G236+I236</f>
        <v>4000</v>
      </c>
      <c r="K236" s="489"/>
    </row>
    <row r="237" spans="2:11" x14ac:dyDescent="0.25">
      <c r="B237" s="460"/>
      <c r="C237" s="498" t="s">
        <v>632</v>
      </c>
      <c r="D237" s="462" t="s">
        <v>479</v>
      </c>
      <c r="E237" s="462">
        <v>1</v>
      </c>
      <c r="F237" s="464"/>
      <c r="G237" s="464">
        <f>E237*F237</f>
        <v>0</v>
      </c>
      <c r="H237" s="464">
        <v>6000</v>
      </c>
      <c r="I237" s="464">
        <f t="shared" si="20"/>
        <v>6000</v>
      </c>
      <c r="J237" s="464">
        <f t="shared" si="21"/>
        <v>6000</v>
      </c>
      <c r="K237" s="465"/>
    </row>
    <row r="238" spans="2:11" x14ac:dyDescent="0.25">
      <c r="B238" s="640" t="s">
        <v>635</v>
      </c>
      <c r="C238" s="640"/>
      <c r="D238" s="640"/>
      <c r="E238" s="640"/>
      <c r="F238" s="640"/>
      <c r="G238" s="640"/>
      <c r="H238" s="640"/>
      <c r="I238" s="640"/>
      <c r="J238" s="464">
        <f>SUM(G230:G237)</f>
        <v>82975</v>
      </c>
      <c r="K238" s="465"/>
    </row>
    <row r="239" spans="2:11" x14ac:dyDescent="0.25">
      <c r="B239" s="640" t="s">
        <v>471</v>
      </c>
      <c r="C239" s="640"/>
      <c r="D239" s="640"/>
      <c r="E239" s="640"/>
      <c r="F239" s="640"/>
      <c r="G239" s="640"/>
      <c r="H239" s="640"/>
      <c r="I239" s="640"/>
      <c r="J239" s="464">
        <f>SUM(I230:I237)</f>
        <v>386950</v>
      </c>
      <c r="K239" s="465"/>
    </row>
    <row r="240" spans="2:11" x14ac:dyDescent="0.25">
      <c r="B240" s="460"/>
      <c r="C240" s="470" t="s">
        <v>248</v>
      </c>
      <c r="D240" s="462"/>
      <c r="E240" s="481">
        <v>0.05</v>
      </c>
      <c r="F240" s="464"/>
      <c r="G240" s="464"/>
      <c r="H240" s="464"/>
      <c r="I240" s="464"/>
      <c r="J240" s="464">
        <f>SUM(J239)*$E240</f>
        <v>19347.5</v>
      </c>
      <c r="K240" s="465"/>
    </row>
    <row r="241" spans="2:11" x14ac:dyDescent="0.25">
      <c r="B241" s="460"/>
      <c r="C241" s="470" t="s">
        <v>631</v>
      </c>
      <c r="D241" s="462"/>
      <c r="E241" s="481">
        <v>0.03</v>
      </c>
      <c r="F241" s="464"/>
      <c r="G241" s="464"/>
      <c r="H241" s="464"/>
      <c r="I241" s="464"/>
      <c r="J241" s="464">
        <f>SUM(J238:J240)*$E241</f>
        <v>14678.174999999999</v>
      </c>
      <c r="K241" s="465"/>
    </row>
    <row r="242" spans="2:11" x14ac:dyDescent="0.25">
      <c r="B242" s="460"/>
      <c r="C242" s="470" t="s">
        <v>629</v>
      </c>
      <c r="D242" s="462"/>
      <c r="E242" s="481">
        <v>0.02</v>
      </c>
      <c r="F242" s="464"/>
      <c r="G242" s="464"/>
      <c r="H242" s="464"/>
      <c r="I242" s="464"/>
      <c r="J242" s="464">
        <f>SUM(J238:J241)*$E242</f>
        <v>10079.013499999999</v>
      </c>
      <c r="K242" s="465"/>
    </row>
    <row r="243" spans="2:11" x14ac:dyDescent="0.25">
      <c r="B243" s="460"/>
      <c r="C243" s="470" t="s">
        <v>630</v>
      </c>
      <c r="D243" s="462"/>
      <c r="E243" s="481">
        <v>0.01</v>
      </c>
      <c r="F243" s="464"/>
      <c r="G243" s="464"/>
      <c r="H243" s="464"/>
      <c r="I243" s="464"/>
      <c r="J243" s="464">
        <f>SUM(J238:J242)*$E243</f>
        <v>5140.2968849999997</v>
      </c>
      <c r="K243" s="465"/>
    </row>
    <row r="244" spans="2:11" x14ac:dyDescent="0.25">
      <c r="B244" s="640" t="s">
        <v>521</v>
      </c>
      <c r="C244" s="640"/>
      <c r="D244" s="640"/>
      <c r="E244" s="640"/>
      <c r="F244" s="640"/>
      <c r="G244" s="640"/>
      <c r="H244" s="640"/>
      <c r="I244" s="640"/>
      <c r="J244" s="482">
        <f>SUM(J238:J243)</f>
        <v>519169.98538500001</v>
      </c>
      <c r="K244" s="465"/>
    </row>
    <row r="245" spans="2:11" x14ac:dyDescent="0.25">
      <c r="B245" s="648" t="s">
        <v>650</v>
      </c>
      <c r="C245" s="643" t="s">
        <v>0</v>
      </c>
      <c r="D245" s="643" t="s">
        <v>22</v>
      </c>
      <c r="E245" s="649" t="s">
        <v>184</v>
      </c>
      <c r="F245" s="644" t="s">
        <v>649</v>
      </c>
      <c r="G245" s="644"/>
      <c r="H245" s="642" t="s">
        <v>215</v>
      </c>
      <c r="I245" s="642"/>
      <c r="J245" s="642" t="s">
        <v>777</v>
      </c>
      <c r="K245" s="642" t="s">
        <v>182</v>
      </c>
    </row>
    <row r="246" spans="2:11" x14ac:dyDescent="0.25">
      <c r="B246" s="648"/>
      <c r="C246" s="643"/>
      <c r="D246" s="643"/>
      <c r="E246" s="649"/>
      <c r="F246" s="458" t="s">
        <v>476</v>
      </c>
      <c r="G246" s="458" t="s">
        <v>776</v>
      </c>
      <c r="H246" s="458" t="s">
        <v>476</v>
      </c>
      <c r="I246" s="458" t="s">
        <v>823</v>
      </c>
      <c r="J246" s="642"/>
      <c r="K246" s="642"/>
    </row>
    <row r="247" spans="2:11" x14ac:dyDescent="0.25">
      <c r="B247" s="641" t="s">
        <v>665</v>
      </c>
      <c r="C247" s="641"/>
      <c r="D247" s="641"/>
      <c r="E247" s="641"/>
      <c r="F247" s="641"/>
      <c r="G247" s="641"/>
      <c r="H247" s="641"/>
      <c r="I247" s="641"/>
      <c r="J247" s="641"/>
      <c r="K247" s="459"/>
    </row>
    <row r="248" spans="2:11" s="500" customFormat="1" x14ac:dyDescent="0.25">
      <c r="B248" s="488">
        <v>81</v>
      </c>
      <c r="C248" s="469" t="s">
        <v>704</v>
      </c>
      <c r="D248" s="464" t="s">
        <v>23</v>
      </c>
      <c r="E248" s="464">
        <v>120</v>
      </c>
      <c r="F248" s="464">
        <v>180</v>
      </c>
      <c r="G248" s="464">
        <f t="shared" ref="G248:G270" si="23">F248*E248</f>
        <v>21600</v>
      </c>
      <c r="H248" s="464">
        <v>150</v>
      </c>
      <c r="I248" s="464">
        <f t="shared" ref="I248:I270" si="24">E248*H248</f>
        <v>18000</v>
      </c>
      <c r="J248" s="464">
        <f>G248+I248</f>
        <v>39600</v>
      </c>
      <c r="K248" s="499"/>
    </row>
    <row r="249" spans="2:11" x14ac:dyDescent="0.25">
      <c r="B249" s="460">
        <v>82</v>
      </c>
      <c r="C249" s="469" t="s">
        <v>666</v>
      </c>
      <c r="D249" s="462" t="s">
        <v>23</v>
      </c>
      <c r="E249" s="462">
        <v>124.83</v>
      </c>
      <c r="F249" s="464">
        <v>180</v>
      </c>
      <c r="G249" s="464">
        <f t="shared" si="23"/>
        <v>22469.4</v>
      </c>
      <c r="H249" s="464"/>
      <c r="I249" s="464">
        <f t="shared" si="24"/>
        <v>0</v>
      </c>
      <c r="J249" s="464">
        <f t="shared" ref="J249:J270" si="25">G249+I249</f>
        <v>22469.4</v>
      </c>
      <c r="K249" s="465"/>
    </row>
    <row r="250" spans="2:11" x14ac:dyDescent="0.25">
      <c r="B250" s="460"/>
      <c r="C250" s="483" t="s">
        <v>723</v>
      </c>
      <c r="D250" s="471" t="s">
        <v>25</v>
      </c>
      <c r="E250" s="501">
        <v>0.54</v>
      </c>
      <c r="F250" s="485"/>
      <c r="G250" s="464">
        <f t="shared" si="23"/>
        <v>0</v>
      </c>
      <c r="H250" s="485">
        <v>25000</v>
      </c>
      <c r="I250" s="464">
        <f t="shared" si="24"/>
        <v>13500</v>
      </c>
      <c r="J250" s="464">
        <f t="shared" si="25"/>
        <v>13500</v>
      </c>
      <c r="K250" s="465"/>
    </row>
    <row r="251" spans="2:11" x14ac:dyDescent="0.25">
      <c r="B251" s="460">
        <v>83</v>
      </c>
      <c r="C251" s="469" t="s">
        <v>667</v>
      </c>
      <c r="D251" s="462" t="s">
        <v>23</v>
      </c>
      <c r="E251" s="462">
        <f>E249</f>
        <v>124.83</v>
      </c>
      <c r="F251" s="464">
        <v>700</v>
      </c>
      <c r="G251" s="464">
        <f t="shared" si="23"/>
        <v>87381</v>
      </c>
      <c r="H251" s="464"/>
      <c r="I251" s="464">
        <f t="shared" si="24"/>
        <v>0</v>
      </c>
      <c r="J251" s="464">
        <f t="shared" si="25"/>
        <v>87381</v>
      </c>
      <c r="K251" s="465"/>
    </row>
    <row r="252" spans="2:11" ht="39.6" x14ac:dyDescent="0.25">
      <c r="B252" s="460"/>
      <c r="C252" s="483" t="s">
        <v>724</v>
      </c>
      <c r="D252" s="471" t="s">
        <v>23</v>
      </c>
      <c r="E252" s="485">
        <v>150</v>
      </c>
      <c r="F252" s="485"/>
      <c r="G252" s="464">
        <f t="shared" si="23"/>
        <v>0</v>
      </c>
      <c r="H252" s="485">
        <v>1180</v>
      </c>
      <c r="I252" s="464">
        <f t="shared" si="24"/>
        <v>177000</v>
      </c>
      <c r="J252" s="464">
        <f t="shared" si="25"/>
        <v>177000</v>
      </c>
      <c r="K252" s="465"/>
    </row>
    <row r="253" spans="2:11" x14ac:dyDescent="0.25">
      <c r="B253" s="460">
        <v>84</v>
      </c>
      <c r="C253" s="469" t="s">
        <v>669</v>
      </c>
      <c r="D253" s="462" t="s">
        <v>34</v>
      </c>
      <c r="E253" s="462">
        <v>35.200000000000003</v>
      </c>
      <c r="F253" s="464">
        <v>350</v>
      </c>
      <c r="G253" s="464">
        <f t="shared" si="23"/>
        <v>12320.000000000002</v>
      </c>
      <c r="H253" s="464"/>
      <c r="I253" s="464">
        <f t="shared" si="24"/>
        <v>0</v>
      </c>
      <c r="J253" s="464">
        <f t="shared" si="25"/>
        <v>12320.000000000002</v>
      </c>
      <c r="K253" s="465"/>
    </row>
    <row r="254" spans="2:11" ht="26.4" x14ac:dyDescent="0.25">
      <c r="B254" s="460"/>
      <c r="C254" s="483" t="s">
        <v>725</v>
      </c>
      <c r="D254" s="471" t="s">
        <v>23</v>
      </c>
      <c r="E254" s="485">
        <f>E253*2*1.2*0.09</f>
        <v>7.6032000000000002</v>
      </c>
      <c r="F254" s="485"/>
      <c r="G254" s="464">
        <f t="shared" si="23"/>
        <v>0</v>
      </c>
      <c r="H254" s="485">
        <v>1180</v>
      </c>
      <c r="I254" s="464">
        <f t="shared" si="24"/>
        <v>8971.7759999999998</v>
      </c>
      <c r="J254" s="464">
        <f t="shared" si="25"/>
        <v>8971.7759999999998</v>
      </c>
      <c r="K254" s="465"/>
    </row>
    <row r="255" spans="2:11" x14ac:dyDescent="0.25">
      <c r="B255" s="460">
        <v>85</v>
      </c>
      <c r="C255" s="466" t="s">
        <v>670</v>
      </c>
      <c r="D255" s="471" t="s">
        <v>23</v>
      </c>
      <c r="E255" s="501">
        <v>5.4</v>
      </c>
      <c r="F255" s="485">
        <v>800</v>
      </c>
      <c r="G255" s="464">
        <f t="shared" si="23"/>
        <v>4320</v>
      </c>
      <c r="H255" s="485"/>
      <c r="I255" s="464">
        <f t="shared" si="24"/>
        <v>0</v>
      </c>
      <c r="J255" s="464">
        <f t="shared" si="25"/>
        <v>4320</v>
      </c>
      <c r="K255" s="465"/>
    </row>
    <row r="256" spans="2:11" ht="26.4" x14ac:dyDescent="0.25">
      <c r="B256" s="460"/>
      <c r="C256" s="483" t="s">
        <v>726</v>
      </c>
      <c r="D256" s="471" t="s">
        <v>10</v>
      </c>
      <c r="E256" s="501">
        <v>24</v>
      </c>
      <c r="F256" s="485"/>
      <c r="G256" s="464">
        <f t="shared" si="23"/>
        <v>0</v>
      </c>
      <c r="H256" s="485">
        <v>110</v>
      </c>
      <c r="I256" s="464">
        <f t="shared" si="24"/>
        <v>2640</v>
      </c>
      <c r="J256" s="464">
        <f t="shared" si="25"/>
        <v>2640</v>
      </c>
      <c r="K256" s="465"/>
    </row>
    <row r="257" spans="2:251" s="486" customFormat="1" x14ac:dyDescent="0.25">
      <c r="B257" s="460">
        <v>86</v>
      </c>
      <c r="C257" s="466" t="s">
        <v>671</v>
      </c>
      <c r="D257" s="471" t="s">
        <v>23</v>
      </c>
      <c r="E257" s="501">
        <v>3.6</v>
      </c>
      <c r="F257" s="485">
        <v>1000</v>
      </c>
      <c r="G257" s="464">
        <f t="shared" si="23"/>
        <v>3600</v>
      </c>
      <c r="H257" s="485"/>
      <c r="I257" s="464">
        <f t="shared" si="24"/>
        <v>0</v>
      </c>
      <c r="J257" s="464">
        <f t="shared" si="25"/>
        <v>3600</v>
      </c>
      <c r="K257" s="465"/>
      <c r="L257" s="454"/>
      <c r="M257" s="454"/>
      <c r="N257" s="454"/>
      <c r="O257" s="454"/>
      <c r="P257" s="454"/>
      <c r="Q257" s="454"/>
      <c r="R257" s="454"/>
      <c r="S257" s="454"/>
      <c r="T257" s="454"/>
      <c r="U257" s="454"/>
      <c r="V257" s="454"/>
      <c r="W257" s="454"/>
      <c r="X257" s="454"/>
      <c r="Y257" s="454"/>
      <c r="Z257" s="454"/>
      <c r="AA257" s="454"/>
      <c r="AB257" s="454"/>
      <c r="AC257" s="454"/>
      <c r="AD257" s="454"/>
      <c r="AE257" s="454"/>
      <c r="AF257" s="454"/>
      <c r="AG257" s="454"/>
      <c r="AH257" s="454"/>
      <c r="AI257" s="454"/>
      <c r="AJ257" s="454"/>
      <c r="AK257" s="454"/>
      <c r="AL257" s="454"/>
      <c r="AM257" s="454"/>
      <c r="AN257" s="454"/>
      <c r="AO257" s="454"/>
      <c r="AP257" s="454"/>
      <c r="AQ257" s="454"/>
      <c r="AR257" s="454"/>
      <c r="AS257" s="454"/>
      <c r="AT257" s="454"/>
      <c r="AU257" s="454"/>
      <c r="AV257" s="454"/>
      <c r="AW257" s="454"/>
      <c r="AX257" s="454"/>
      <c r="AY257" s="454"/>
      <c r="AZ257" s="454"/>
      <c r="BA257" s="454"/>
      <c r="BB257" s="454"/>
      <c r="BC257" s="454"/>
      <c r="BD257" s="454"/>
      <c r="BE257" s="454"/>
      <c r="BF257" s="454"/>
      <c r="BG257" s="454"/>
      <c r="BH257" s="454"/>
      <c r="BI257" s="454"/>
      <c r="BJ257" s="454"/>
      <c r="BK257" s="454"/>
      <c r="BL257" s="454"/>
      <c r="BM257" s="454"/>
      <c r="BN257" s="454"/>
      <c r="BO257" s="454"/>
      <c r="BP257" s="454"/>
      <c r="BQ257" s="454"/>
      <c r="BR257" s="454"/>
      <c r="BS257" s="454"/>
      <c r="BT257" s="454"/>
      <c r="BU257" s="454"/>
      <c r="BV257" s="454"/>
      <c r="BW257" s="454"/>
      <c r="BX257" s="454"/>
      <c r="BY257" s="454"/>
      <c r="BZ257" s="454"/>
      <c r="CA257" s="454"/>
      <c r="CB257" s="454"/>
      <c r="CC257" s="454"/>
      <c r="CD257" s="454"/>
      <c r="CE257" s="454"/>
      <c r="CF257" s="454"/>
      <c r="CG257" s="454"/>
      <c r="CH257" s="454"/>
      <c r="CI257" s="454"/>
      <c r="CJ257" s="454"/>
      <c r="CK257" s="454"/>
      <c r="CL257" s="454"/>
      <c r="CM257" s="454"/>
      <c r="CN257" s="454"/>
      <c r="CO257" s="454"/>
      <c r="CP257" s="454"/>
      <c r="CQ257" s="454"/>
      <c r="CR257" s="454"/>
      <c r="CS257" s="454"/>
      <c r="CT257" s="454"/>
      <c r="CU257" s="454"/>
      <c r="CV257" s="454"/>
      <c r="CW257" s="454"/>
      <c r="CX257" s="454"/>
      <c r="CY257" s="454"/>
      <c r="CZ257" s="454"/>
      <c r="DA257" s="454"/>
      <c r="DB257" s="454"/>
      <c r="DC257" s="454"/>
      <c r="DD257" s="454"/>
      <c r="DE257" s="454"/>
      <c r="DF257" s="454"/>
      <c r="DG257" s="454"/>
      <c r="DH257" s="454"/>
      <c r="DI257" s="454"/>
      <c r="DJ257" s="454"/>
      <c r="DK257" s="454"/>
      <c r="DL257" s="454"/>
      <c r="DM257" s="454"/>
      <c r="DN257" s="454"/>
      <c r="DO257" s="454"/>
      <c r="DP257" s="454"/>
      <c r="DQ257" s="454"/>
      <c r="DR257" s="454"/>
      <c r="DS257" s="454"/>
      <c r="DT257" s="454"/>
      <c r="DU257" s="454"/>
      <c r="DV257" s="454"/>
      <c r="DW257" s="454"/>
      <c r="DX257" s="454"/>
      <c r="DY257" s="454"/>
      <c r="DZ257" s="454"/>
      <c r="EA257" s="454"/>
      <c r="EB257" s="454"/>
      <c r="EC257" s="454"/>
      <c r="ED257" s="454"/>
      <c r="EE257" s="454"/>
      <c r="EF257" s="454"/>
      <c r="EG257" s="454"/>
      <c r="EH257" s="454"/>
      <c r="EI257" s="454"/>
      <c r="EJ257" s="454"/>
      <c r="EK257" s="454"/>
      <c r="EL257" s="454"/>
      <c r="EM257" s="454"/>
      <c r="EN257" s="454"/>
      <c r="EO257" s="454"/>
      <c r="EP257" s="454"/>
      <c r="EQ257" s="454"/>
      <c r="ER257" s="454"/>
      <c r="ES257" s="454"/>
      <c r="ET257" s="454"/>
      <c r="EU257" s="454"/>
      <c r="EV257" s="454"/>
      <c r="EW257" s="454"/>
      <c r="EX257" s="454"/>
      <c r="EY257" s="454"/>
      <c r="EZ257" s="454"/>
      <c r="FA257" s="454"/>
      <c r="FB257" s="454"/>
      <c r="FC257" s="454"/>
      <c r="FD257" s="454"/>
      <c r="FE257" s="454"/>
      <c r="FF257" s="454"/>
      <c r="FG257" s="454"/>
      <c r="FH257" s="454"/>
      <c r="FI257" s="454"/>
      <c r="FJ257" s="454"/>
      <c r="FK257" s="454"/>
      <c r="FL257" s="454"/>
      <c r="FM257" s="454"/>
      <c r="FN257" s="454"/>
      <c r="FO257" s="454"/>
      <c r="FP257" s="454"/>
      <c r="FQ257" s="454"/>
      <c r="FR257" s="454"/>
      <c r="FS257" s="454"/>
      <c r="FT257" s="454"/>
      <c r="FU257" s="454"/>
      <c r="FV257" s="454"/>
      <c r="FW257" s="454"/>
      <c r="FX257" s="454"/>
      <c r="FY257" s="454"/>
      <c r="FZ257" s="454"/>
      <c r="GA257" s="454"/>
      <c r="GB257" s="454"/>
      <c r="GC257" s="454"/>
      <c r="GD257" s="454"/>
      <c r="GE257" s="454"/>
      <c r="GF257" s="454"/>
      <c r="GG257" s="454"/>
      <c r="GH257" s="454"/>
      <c r="GI257" s="454"/>
      <c r="GJ257" s="454"/>
      <c r="GK257" s="454"/>
      <c r="GL257" s="454"/>
      <c r="GM257" s="454"/>
      <c r="GN257" s="454"/>
      <c r="GO257" s="454"/>
      <c r="GP257" s="454"/>
      <c r="GQ257" s="454"/>
      <c r="GR257" s="454"/>
      <c r="GS257" s="454"/>
      <c r="GT257" s="454"/>
      <c r="GU257" s="454"/>
      <c r="GV257" s="454"/>
      <c r="GW257" s="454"/>
      <c r="GX257" s="454"/>
      <c r="GY257" s="454"/>
      <c r="GZ257" s="454"/>
      <c r="HA257" s="454"/>
      <c r="HB257" s="454"/>
      <c r="HC257" s="454"/>
      <c r="HD257" s="454"/>
      <c r="HE257" s="454"/>
      <c r="HF257" s="454"/>
      <c r="HG257" s="454"/>
      <c r="HH257" s="454"/>
      <c r="HI257" s="454"/>
      <c r="HJ257" s="454"/>
      <c r="HK257" s="454"/>
      <c r="HL257" s="454"/>
      <c r="HM257" s="454"/>
      <c r="HN257" s="454"/>
      <c r="HO257" s="454"/>
      <c r="HP257" s="454"/>
      <c r="HQ257" s="454"/>
      <c r="HR257" s="454"/>
      <c r="HS257" s="454"/>
      <c r="HT257" s="454"/>
      <c r="HU257" s="454"/>
      <c r="HV257" s="454"/>
      <c r="HW257" s="454"/>
      <c r="HX257" s="454"/>
      <c r="HY257" s="454"/>
      <c r="HZ257" s="454"/>
      <c r="IA257" s="454"/>
      <c r="IB257" s="454"/>
      <c r="IC257" s="454"/>
      <c r="ID257" s="454"/>
      <c r="IE257" s="454"/>
      <c r="IF257" s="454"/>
      <c r="IG257" s="454"/>
      <c r="IH257" s="454"/>
      <c r="II257" s="454"/>
      <c r="IJ257" s="454"/>
      <c r="IK257" s="454"/>
      <c r="IL257" s="454"/>
      <c r="IM257" s="454"/>
      <c r="IN257" s="454"/>
      <c r="IO257" s="454"/>
      <c r="IP257" s="454"/>
      <c r="IQ257" s="454"/>
    </row>
    <row r="258" spans="2:251" x14ac:dyDescent="0.25">
      <c r="B258" s="460"/>
      <c r="C258" s="483" t="s">
        <v>727</v>
      </c>
      <c r="D258" s="471" t="s">
        <v>25</v>
      </c>
      <c r="E258" s="501">
        <v>0.2</v>
      </c>
      <c r="F258" s="485"/>
      <c r="G258" s="464">
        <f t="shared" si="23"/>
        <v>0</v>
      </c>
      <c r="H258" s="485">
        <v>25000</v>
      </c>
      <c r="I258" s="464">
        <f t="shared" si="24"/>
        <v>5000</v>
      </c>
      <c r="J258" s="464">
        <f t="shared" si="25"/>
        <v>5000</v>
      </c>
      <c r="K258" s="465"/>
    </row>
    <row r="259" spans="2:251" x14ac:dyDescent="0.25">
      <c r="B259" s="460">
        <v>87</v>
      </c>
      <c r="C259" s="502" t="s">
        <v>728</v>
      </c>
      <c r="D259" s="503" t="s">
        <v>23</v>
      </c>
      <c r="E259" s="504">
        <v>29</v>
      </c>
      <c r="F259" s="505">
        <v>1300</v>
      </c>
      <c r="G259" s="464">
        <f t="shared" si="23"/>
        <v>37700</v>
      </c>
      <c r="H259" s="505"/>
      <c r="I259" s="464">
        <f t="shared" si="24"/>
        <v>0</v>
      </c>
      <c r="J259" s="464">
        <f t="shared" si="25"/>
        <v>37700</v>
      </c>
      <c r="K259" s="465"/>
    </row>
    <row r="260" spans="2:251" x14ac:dyDescent="0.25">
      <c r="B260" s="460"/>
      <c r="C260" s="483" t="s">
        <v>729</v>
      </c>
      <c r="D260" s="484" t="s">
        <v>23</v>
      </c>
      <c r="E260" s="463">
        <f>E259*1.2</f>
        <v>34.799999999999997</v>
      </c>
      <c r="F260" s="464"/>
      <c r="G260" s="464">
        <f t="shared" si="23"/>
        <v>0</v>
      </c>
      <c r="H260" s="464">
        <v>1400</v>
      </c>
      <c r="I260" s="464">
        <f t="shared" si="24"/>
        <v>48719.999999999993</v>
      </c>
      <c r="J260" s="464">
        <f t="shared" si="25"/>
        <v>48719.999999999993</v>
      </c>
      <c r="K260" s="465"/>
    </row>
    <row r="261" spans="2:251" x14ac:dyDescent="0.25">
      <c r="B261" s="460">
        <v>88</v>
      </c>
      <c r="C261" s="469" t="s">
        <v>731</v>
      </c>
      <c r="D261" s="462" t="s">
        <v>23</v>
      </c>
      <c r="E261" s="462">
        <v>20</v>
      </c>
      <c r="F261" s="464">
        <v>550</v>
      </c>
      <c r="G261" s="464">
        <f t="shared" si="23"/>
        <v>11000</v>
      </c>
      <c r="H261" s="464"/>
      <c r="I261" s="464">
        <f t="shared" si="24"/>
        <v>0</v>
      </c>
      <c r="J261" s="464">
        <f t="shared" si="25"/>
        <v>11000</v>
      </c>
      <c r="K261" s="465"/>
    </row>
    <row r="262" spans="2:251" ht="26.4" x14ac:dyDescent="0.25">
      <c r="B262" s="460"/>
      <c r="C262" s="470" t="s">
        <v>730</v>
      </c>
      <c r="D262" s="462" t="s">
        <v>10</v>
      </c>
      <c r="E262" s="462">
        <v>70</v>
      </c>
      <c r="F262" s="464"/>
      <c r="G262" s="464">
        <f t="shared" si="23"/>
        <v>0</v>
      </c>
      <c r="H262" s="464">
        <v>180</v>
      </c>
      <c r="I262" s="464">
        <f t="shared" si="24"/>
        <v>12600</v>
      </c>
      <c r="J262" s="464">
        <f t="shared" si="25"/>
        <v>12600</v>
      </c>
      <c r="K262" s="465"/>
    </row>
    <row r="263" spans="2:251" ht="26.4" x14ac:dyDescent="0.25">
      <c r="B263" s="460">
        <v>89</v>
      </c>
      <c r="C263" s="469" t="s">
        <v>732</v>
      </c>
      <c r="D263" s="462" t="s">
        <v>23</v>
      </c>
      <c r="E263" s="462">
        <f>8.5+33.6</f>
        <v>42.1</v>
      </c>
      <c r="F263" s="464">
        <v>400</v>
      </c>
      <c r="G263" s="464">
        <f t="shared" si="23"/>
        <v>16840</v>
      </c>
      <c r="H263" s="464"/>
      <c r="I263" s="464">
        <f t="shared" si="24"/>
        <v>0</v>
      </c>
      <c r="J263" s="464">
        <f t="shared" si="25"/>
        <v>16840</v>
      </c>
      <c r="K263" s="465"/>
    </row>
    <row r="264" spans="2:251" x14ac:dyDescent="0.25">
      <c r="B264" s="460"/>
      <c r="C264" s="470" t="s">
        <v>738</v>
      </c>
      <c r="D264" s="462" t="s">
        <v>330</v>
      </c>
      <c r="E264" s="462">
        <v>4</v>
      </c>
      <c r="F264" s="464"/>
      <c r="G264" s="464">
        <f t="shared" si="23"/>
        <v>0</v>
      </c>
      <c r="H264" s="464">
        <v>700</v>
      </c>
      <c r="I264" s="464">
        <f t="shared" si="24"/>
        <v>2800</v>
      </c>
      <c r="J264" s="464">
        <f t="shared" si="25"/>
        <v>2800</v>
      </c>
      <c r="K264" s="465"/>
      <c r="L264" s="506"/>
    </row>
    <row r="265" spans="2:251" x14ac:dyDescent="0.25">
      <c r="B265" s="460"/>
      <c r="C265" s="470" t="s">
        <v>739</v>
      </c>
      <c r="D265" s="462" t="s">
        <v>10</v>
      </c>
      <c r="E265" s="462">
        <v>12</v>
      </c>
      <c r="F265" s="464"/>
      <c r="G265" s="464">
        <f t="shared" si="23"/>
        <v>0</v>
      </c>
      <c r="H265" s="464">
        <v>1100</v>
      </c>
      <c r="I265" s="464">
        <f t="shared" si="24"/>
        <v>13200</v>
      </c>
      <c r="J265" s="464">
        <f t="shared" si="25"/>
        <v>13200</v>
      </c>
      <c r="K265" s="465"/>
    </row>
    <row r="266" spans="2:251" x14ac:dyDescent="0.25">
      <c r="B266" s="460">
        <v>90</v>
      </c>
      <c r="C266" s="469" t="s">
        <v>733</v>
      </c>
      <c r="D266" s="462" t="s">
        <v>34</v>
      </c>
      <c r="E266" s="507">
        <v>85</v>
      </c>
      <c r="F266" s="464">
        <v>400</v>
      </c>
      <c r="G266" s="464">
        <f t="shared" si="23"/>
        <v>34000</v>
      </c>
      <c r="H266" s="464"/>
      <c r="I266" s="464">
        <f t="shared" si="24"/>
        <v>0</v>
      </c>
      <c r="J266" s="464">
        <f t="shared" si="25"/>
        <v>34000</v>
      </c>
      <c r="K266" s="465"/>
    </row>
    <row r="267" spans="2:251" ht="26.4" x14ac:dyDescent="0.25">
      <c r="B267" s="460"/>
      <c r="C267" s="483" t="s">
        <v>668</v>
      </c>
      <c r="D267" s="471" t="s">
        <v>23</v>
      </c>
      <c r="E267" s="501">
        <f>E266*1.3*0.095</f>
        <v>10.4975</v>
      </c>
      <c r="F267" s="485"/>
      <c r="G267" s="464">
        <f t="shared" si="23"/>
        <v>0</v>
      </c>
      <c r="H267" s="485">
        <v>1180</v>
      </c>
      <c r="I267" s="464">
        <f t="shared" si="24"/>
        <v>12387.050000000001</v>
      </c>
      <c r="J267" s="464">
        <f t="shared" si="25"/>
        <v>12387.050000000001</v>
      </c>
      <c r="K267" s="465"/>
    </row>
    <row r="268" spans="2:251" s="490" customFormat="1" x14ac:dyDescent="0.25">
      <c r="B268" s="488">
        <v>91</v>
      </c>
      <c r="C268" s="469" t="s">
        <v>701</v>
      </c>
      <c r="D268" s="464" t="s">
        <v>702</v>
      </c>
      <c r="E268" s="464">
        <v>2</v>
      </c>
      <c r="F268" s="464">
        <v>6000</v>
      </c>
      <c r="G268" s="464">
        <f t="shared" si="23"/>
        <v>12000</v>
      </c>
      <c r="H268" s="464">
        <v>500</v>
      </c>
      <c r="I268" s="464">
        <f t="shared" si="24"/>
        <v>1000</v>
      </c>
      <c r="J268" s="464">
        <f t="shared" si="25"/>
        <v>13000</v>
      </c>
      <c r="K268" s="499"/>
    </row>
    <row r="269" spans="2:251" s="490" customFormat="1" x14ac:dyDescent="0.25">
      <c r="B269" s="488">
        <v>92</v>
      </c>
      <c r="C269" s="469" t="s">
        <v>703</v>
      </c>
      <c r="D269" s="464" t="s">
        <v>702</v>
      </c>
      <c r="E269" s="464">
        <v>1</v>
      </c>
      <c r="F269" s="464">
        <v>8000</v>
      </c>
      <c r="G269" s="464">
        <f t="shared" si="23"/>
        <v>8000</v>
      </c>
      <c r="H269" s="464"/>
      <c r="I269" s="464">
        <f t="shared" si="24"/>
        <v>0</v>
      </c>
      <c r="J269" s="464">
        <f t="shared" si="25"/>
        <v>8000</v>
      </c>
      <c r="K269" s="499"/>
    </row>
    <row r="270" spans="2:251" x14ac:dyDescent="0.25">
      <c r="B270" s="460"/>
      <c r="C270" s="483" t="s">
        <v>632</v>
      </c>
      <c r="D270" s="462" t="s">
        <v>479</v>
      </c>
      <c r="E270" s="462">
        <v>1</v>
      </c>
      <c r="F270" s="464"/>
      <c r="G270" s="464">
        <f t="shared" si="23"/>
        <v>0</v>
      </c>
      <c r="H270" s="464">
        <v>6000</v>
      </c>
      <c r="I270" s="464">
        <f t="shared" si="24"/>
        <v>6000</v>
      </c>
      <c r="J270" s="464">
        <f t="shared" si="25"/>
        <v>6000</v>
      </c>
      <c r="K270" s="465"/>
    </row>
    <row r="271" spans="2:251" x14ac:dyDescent="0.25">
      <c r="B271" s="640" t="s">
        <v>635</v>
      </c>
      <c r="C271" s="640"/>
      <c r="D271" s="640"/>
      <c r="E271" s="640"/>
      <c r="F271" s="640"/>
      <c r="G271" s="640"/>
      <c r="H271" s="640"/>
      <c r="I271" s="640"/>
      <c r="J271" s="464">
        <f>SUM(G248:G270)</f>
        <v>271230.40000000002</v>
      </c>
      <c r="K271" s="465"/>
    </row>
    <row r="272" spans="2:251" x14ac:dyDescent="0.25">
      <c r="B272" s="640" t="s">
        <v>471</v>
      </c>
      <c r="C272" s="640"/>
      <c r="D272" s="640"/>
      <c r="E272" s="640"/>
      <c r="F272" s="640"/>
      <c r="G272" s="640"/>
      <c r="H272" s="640"/>
      <c r="I272" s="640"/>
      <c r="J272" s="464">
        <f>SUM(I248:I270)</f>
        <v>321818.826</v>
      </c>
      <c r="K272" s="465"/>
    </row>
    <row r="273" spans="2:11" x14ac:dyDescent="0.25">
      <c r="B273" s="460"/>
      <c r="C273" s="470" t="s">
        <v>248</v>
      </c>
      <c r="D273" s="462"/>
      <c r="E273" s="481">
        <v>0.05</v>
      </c>
      <c r="F273" s="464"/>
      <c r="G273" s="464"/>
      <c r="H273" s="464"/>
      <c r="I273" s="464"/>
      <c r="J273" s="464">
        <f>SUM(J272)*$E273</f>
        <v>16090.9413</v>
      </c>
      <c r="K273" s="465"/>
    </row>
    <row r="274" spans="2:11" x14ac:dyDescent="0.25">
      <c r="B274" s="460"/>
      <c r="C274" s="470" t="s">
        <v>631</v>
      </c>
      <c r="D274" s="462"/>
      <c r="E274" s="481">
        <v>0.03</v>
      </c>
      <c r="F274" s="464"/>
      <c r="G274" s="464"/>
      <c r="H274" s="464"/>
      <c r="I274" s="464"/>
      <c r="J274" s="464">
        <f>SUM(J271:J273)*$E274</f>
        <v>18274.205018999997</v>
      </c>
      <c r="K274" s="465"/>
    </row>
    <row r="275" spans="2:11" x14ac:dyDescent="0.25">
      <c r="B275" s="460"/>
      <c r="C275" s="470" t="s">
        <v>629</v>
      </c>
      <c r="D275" s="462"/>
      <c r="E275" s="481">
        <v>0.02</v>
      </c>
      <c r="F275" s="464"/>
      <c r="G275" s="464"/>
      <c r="H275" s="464"/>
      <c r="I275" s="464"/>
      <c r="J275" s="464">
        <f>SUM(J271:J274)*$E275</f>
        <v>12548.28744638</v>
      </c>
      <c r="K275" s="465"/>
    </row>
    <row r="276" spans="2:11" x14ac:dyDescent="0.25">
      <c r="B276" s="640" t="s">
        <v>735</v>
      </c>
      <c r="C276" s="640"/>
      <c r="D276" s="640"/>
      <c r="E276" s="640"/>
      <c r="F276" s="640"/>
      <c r="G276" s="640"/>
      <c r="H276" s="640"/>
      <c r="I276" s="640"/>
      <c r="J276" s="482">
        <f>SUM(J271:J275)</f>
        <v>639962.65976537997</v>
      </c>
      <c r="K276" s="465"/>
    </row>
    <row r="277" spans="2:11" x14ac:dyDescent="0.25">
      <c r="B277" s="648" t="s">
        <v>650</v>
      </c>
      <c r="C277" s="643" t="s">
        <v>0</v>
      </c>
      <c r="D277" s="643" t="s">
        <v>22</v>
      </c>
      <c r="E277" s="649" t="s">
        <v>184</v>
      </c>
      <c r="F277" s="644" t="s">
        <v>649</v>
      </c>
      <c r="G277" s="644"/>
      <c r="H277" s="642" t="s">
        <v>215</v>
      </c>
      <c r="I277" s="642"/>
      <c r="J277" s="642" t="s">
        <v>777</v>
      </c>
      <c r="K277" s="642" t="s">
        <v>182</v>
      </c>
    </row>
    <row r="278" spans="2:11" x14ac:dyDescent="0.25">
      <c r="B278" s="648"/>
      <c r="C278" s="643"/>
      <c r="D278" s="643"/>
      <c r="E278" s="649"/>
      <c r="F278" s="458" t="s">
        <v>476</v>
      </c>
      <c r="G278" s="458" t="s">
        <v>776</v>
      </c>
      <c r="H278" s="458" t="s">
        <v>476</v>
      </c>
      <c r="I278" s="458" t="s">
        <v>823</v>
      </c>
      <c r="J278" s="642"/>
      <c r="K278" s="642"/>
    </row>
    <row r="279" spans="2:11" x14ac:dyDescent="0.25">
      <c r="B279" s="641" t="s">
        <v>734</v>
      </c>
      <c r="C279" s="641"/>
      <c r="D279" s="641"/>
      <c r="E279" s="641"/>
      <c r="F279" s="641"/>
      <c r="G279" s="641"/>
      <c r="H279" s="641"/>
      <c r="I279" s="641"/>
      <c r="J279" s="641"/>
      <c r="K279" s="459"/>
    </row>
    <row r="280" spans="2:11" x14ac:dyDescent="0.25">
      <c r="B280" s="460">
        <v>93</v>
      </c>
      <c r="C280" s="469" t="s">
        <v>672</v>
      </c>
      <c r="D280" s="462" t="s">
        <v>23</v>
      </c>
      <c r="E280" s="462">
        <f>258.02+51.35</f>
        <v>309.37</v>
      </c>
      <c r="F280" s="464">
        <v>180</v>
      </c>
      <c r="G280" s="464">
        <f>E280*F280</f>
        <v>55686.6</v>
      </c>
      <c r="H280" s="464"/>
      <c r="I280" s="464">
        <f>H280*E280</f>
        <v>0</v>
      </c>
      <c r="J280" s="464">
        <f t="shared" ref="J280:J305" si="26">G280+I280</f>
        <v>55686.6</v>
      </c>
      <c r="K280" s="465"/>
    </row>
    <row r="281" spans="2:11" ht="26.4" x14ac:dyDescent="0.25">
      <c r="B281" s="460"/>
      <c r="C281" s="483" t="s">
        <v>759</v>
      </c>
      <c r="D281" s="471" t="s">
        <v>10</v>
      </c>
      <c r="E281" s="485">
        <f>140+136</f>
        <v>276</v>
      </c>
      <c r="F281" s="485"/>
      <c r="G281" s="464">
        <f t="shared" ref="G281:G305" si="27">E281*F281</f>
        <v>0</v>
      </c>
      <c r="H281" s="485">
        <v>110</v>
      </c>
      <c r="I281" s="464">
        <f t="shared" ref="I281:I305" si="28">H281*E281</f>
        <v>30360</v>
      </c>
      <c r="J281" s="464">
        <f t="shared" si="26"/>
        <v>30360</v>
      </c>
      <c r="K281" s="465"/>
    </row>
    <row r="282" spans="2:11" x14ac:dyDescent="0.25">
      <c r="B282" s="460">
        <v>94</v>
      </c>
      <c r="C282" s="469" t="s">
        <v>673</v>
      </c>
      <c r="D282" s="462" t="s">
        <v>23</v>
      </c>
      <c r="E282" s="462">
        <v>51.35</v>
      </c>
      <c r="F282" s="464">
        <v>300</v>
      </c>
      <c r="G282" s="464">
        <f t="shared" si="27"/>
        <v>15405</v>
      </c>
      <c r="H282" s="464"/>
      <c r="I282" s="464">
        <f t="shared" si="28"/>
        <v>0</v>
      </c>
      <c r="J282" s="464">
        <f t="shared" si="26"/>
        <v>15405</v>
      </c>
      <c r="K282" s="465"/>
    </row>
    <row r="283" spans="2:11" x14ac:dyDescent="0.25">
      <c r="B283" s="460"/>
      <c r="C283" s="483" t="s">
        <v>736</v>
      </c>
      <c r="D283" s="471" t="s">
        <v>330</v>
      </c>
      <c r="E283" s="485">
        <f>ROUNDUP(E282*1.15/3,0)</f>
        <v>20</v>
      </c>
      <c r="F283" s="485"/>
      <c r="G283" s="464">
        <f t="shared" si="27"/>
        <v>0</v>
      </c>
      <c r="H283" s="485">
        <v>415</v>
      </c>
      <c r="I283" s="464">
        <f t="shared" si="28"/>
        <v>8300</v>
      </c>
      <c r="J283" s="464">
        <f t="shared" si="26"/>
        <v>8300</v>
      </c>
      <c r="K283" s="465"/>
    </row>
    <row r="284" spans="2:11" ht="26.4" x14ac:dyDescent="0.25">
      <c r="B284" s="460">
        <v>95</v>
      </c>
      <c r="C284" s="466" t="s">
        <v>767</v>
      </c>
      <c r="D284" s="471" t="s">
        <v>23</v>
      </c>
      <c r="E284" s="501">
        <f>1.9+14.9</f>
        <v>16.8</v>
      </c>
      <c r="F284" s="485">
        <v>120</v>
      </c>
      <c r="G284" s="464">
        <f t="shared" si="27"/>
        <v>2016</v>
      </c>
      <c r="H284" s="485"/>
      <c r="I284" s="464">
        <f t="shared" si="28"/>
        <v>0</v>
      </c>
      <c r="J284" s="464">
        <f t="shared" si="26"/>
        <v>2016</v>
      </c>
      <c r="K284" s="465"/>
    </row>
    <row r="285" spans="2:11" ht="26.4" x14ac:dyDescent="0.25">
      <c r="B285" s="460"/>
      <c r="C285" s="483" t="s">
        <v>768</v>
      </c>
      <c r="D285" s="471" t="s">
        <v>217</v>
      </c>
      <c r="E285" s="501">
        <v>1</v>
      </c>
      <c r="F285" s="485"/>
      <c r="G285" s="464">
        <f t="shared" si="27"/>
        <v>0</v>
      </c>
      <c r="H285" s="485">
        <v>1860</v>
      </c>
      <c r="I285" s="464">
        <f t="shared" si="28"/>
        <v>1860</v>
      </c>
      <c r="J285" s="464">
        <f t="shared" si="26"/>
        <v>1860</v>
      </c>
      <c r="K285" s="465"/>
    </row>
    <row r="286" spans="2:11" x14ac:dyDescent="0.25">
      <c r="B286" s="460"/>
      <c r="C286" s="483" t="s">
        <v>769</v>
      </c>
      <c r="D286" s="471" t="s">
        <v>217</v>
      </c>
      <c r="E286" s="501">
        <v>2</v>
      </c>
      <c r="F286" s="485"/>
      <c r="G286" s="464">
        <f t="shared" si="27"/>
        <v>0</v>
      </c>
      <c r="H286" s="485">
        <v>270</v>
      </c>
      <c r="I286" s="464">
        <f t="shared" si="28"/>
        <v>540</v>
      </c>
      <c r="J286" s="464">
        <f t="shared" si="26"/>
        <v>540</v>
      </c>
      <c r="K286" s="465"/>
    </row>
    <row r="287" spans="2:11" x14ac:dyDescent="0.25">
      <c r="B287" s="460">
        <v>96</v>
      </c>
      <c r="C287" s="469" t="s">
        <v>675</v>
      </c>
      <c r="D287" s="462" t="s">
        <v>23</v>
      </c>
      <c r="E287" s="462">
        <f>258.02</f>
        <v>258.02</v>
      </c>
      <c r="F287" s="464">
        <v>620</v>
      </c>
      <c r="G287" s="464">
        <f t="shared" si="27"/>
        <v>159972.4</v>
      </c>
      <c r="H287" s="464"/>
      <c r="I287" s="464">
        <f t="shared" si="28"/>
        <v>0</v>
      </c>
      <c r="J287" s="464">
        <f t="shared" si="26"/>
        <v>159972.4</v>
      </c>
      <c r="K287" s="465"/>
    </row>
    <row r="288" spans="2:11" x14ac:dyDescent="0.25">
      <c r="B288" s="460"/>
      <c r="C288" s="483" t="s">
        <v>751</v>
      </c>
      <c r="D288" s="471" t="s">
        <v>10</v>
      </c>
      <c r="E288" s="485">
        <f>E287*1.15/0.83</f>
        <v>357.49759036144576</v>
      </c>
      <c r="F288" s="485"/>
      <c r="G288" s="464">
        <f t="shared" si="27"/>
        <v>0</v>
      </c>
      <c r="H288" s="485">
        <v>410</v>
      </c>
      <c r="I288" s="464">
        <f t="shared" si="28"/>
        <v>146574.01204819276</v>
      </c>
      <c r="J288" s="464">
        <f t="shared" si="26"/>
        <v>146574.01204819276</v>
      </c>
      <c r="K288" s="465"/>
    </row>
    <row r="289" spans="2:251" x14ac:dyDescent="0.25">
      <c r="B289" s="460"/>
      <c r="C289" s="483" t="s">
        <v>765</v>
      </c>
      <c r="D289" s="471" t="s">
        <v>344</v>
      </c>
      <c r="E289" s="485">
        <f>ROUNDUP(14.9*1.2/2.376,0)</f>
        <v>8</v>
      </c>
      <c r="F289" s="485"/>
      <c r="G289" s="464">
        <f t="shared" si="27"/>
        <v>0</v>
      </c>
      <c r="H289" s="485">
        <v>2442</v>
      </c>
      <c r="I289" s="464">
        <f t="shared" si="28"/>
        <v>19536</v>
      </c>
      <c r="J289" s="464">
        <f t="shared" si="26"/>
        <v>19536</v>
      </c>
      <c r="K289" s="465" t="s">
        <v>766</v>
      </c>
    </row>
    <row r="290" spans="2:251" x14ac:dyDescent="0.25">
      <c r="B290" s="460">
        <v>97</v>
      </c>
      <c r="C290" s="466" t="s">
        <v>761</v>
      </c>
      <c r="D290" s="471" t="s">
        <v>23</v>
      </c>
      <c r="E290" s="501">
        <v>58.1</v>
      </c>
      <c r="F290" s="485">
        <v>200</v>
      </c>
      <c r="G290" s="464">
        <f t="shared" si="27"/>
        <v>11620</v>
      </c>
      <c r="H290" s="485"/>
      <c r="I290" s="464">
        <f t="shared" si="28"/>
        <v>0</v>
      </c>
      <c r="J290" s="464">
        <f t="shared" si="26"/>
        <v>11620</v>
      </c>
      <c r="K290" s="465"/>
    </row>
    <row r="291" spans="2:251" s="486" customFormat="1" x14ac:dyDescent="0.25">
      <c r="B291" s="460"/>
      <c r="C291" s="483" t="s">
        <v>760</v>
      </c>
      <c r="D291" s="471" t="s">
        <v>25</v>
      </c>
      <c r="E291" s="501">
        <v>0.18</v>
      </c>
      <c r="F291" s="485"/>
      <c r="G291" s="464">
        <f t="shared" si="27"/>
        <v>0</v>
      </c>
      <c r="H291" s="485">
        <v>25000</v>
      </c>
      <c r="I291" s="464">
        <f t="shared" si="28"/>
        <v>4500</v>
      </c>
      <c r="J291" s="464">
        <f t="shared" si="26"/>
        <v>4500</v>
      </c>
      <c r="K291" s="465"/>
      <c r="L291" s="454"/>
      <c r="M291" s="454"/>
      <c r="N291" s="454"/>
      <c r="O291" s="454"/>
      <c r="P291" s="454"/>
      <c r="Q291" s="454"/>
      <c r="R291" s="454"/>
      <c r="S291" s="454"/>
      <c r="T291" s="454"/>
      <c r="U291" s="454"/>
      <c r="V291" s="454"/>
      <c r="W291" s="454"/>
      <c r="X291" s="454"/>
      <c r="Y291" s="454"/>
      <c r="Z291" s="454"/>
      <c r="AA291" s="454"/>
      <c r="AB291" s="454"/>
      <c r="AC291" s="454"/>
      <c r="AD291" s="454"/>
      <c r="AE291" s="454"/>
      <c r="AF291" s="454"/>
      <c r="AG291" s="454"/>
      <c r="AH291" s="454"/>
      <c r="AI291" s="454"/>
      <c r="AJ291" s="454"/>
      <c r="AK291" s="454"/>
      <c r="AL291" s="454"/>
      <c r="AM291" s="454"/>
      <c r="AN291" s="454"/>
      <c r="AO291" s="454"/>
      <c r="AP291" s="454"/>
      <c r="AQ291" s="454"/>
      <c r="AR291" s="454"/>
      <c r="AS291" s="454"/>
      <c r="AT291" s="454"/>
      <c r="AU291" s="454"/>
      <c r="AV291" s="454"/>
      <c r="AW291" s="454"/>
      <c r="AX291" s="454"/>
      <c r="AY291" s="454"/>
      <c r="AZ291" s="454"/>
      <c r="BA291" s="454"/>
      <c r="BB291" s="454"/>
      <c r="BC291" s="454"/>
      <c r="BD291" s="454"/>
      <c r="BE291" s="454"/>
      <c r="BF291" s="454"/>
      <c r="BG291" s="454"/>
      <c r="BH291" s="454"/>
      <c r="BI291" s="454"/>
      <c r="BJ291" s="454"/>
      <c r="BK291" s="454"/>
      <c r="BL291" s="454"/>
      <c r="BM291" s="454"/>
      <c r="BN291" s="454"/>
      <c r="BO291" s="454"/>
      <c r="BP291" s="454"/>
      <c r="BQ291" s="454"/>
      <c r="BR291" s="454"/>
      <c r="BS291" s="454"/>
      <c r="BT291" s="454"/>
      <c r="BU291" s="454"/>
      <c r="BV291" s="454"/>
      <c r="BW291" s="454"/>
      <c r="BX291" s="454"/>
      <c r="BY291" s="454"/>
      <c r="BZ291" s="454"/>
      <c r="CA291" s="454"/>
      <c r="CB291" s="454"/>
      <c r="CC291" s="454"/>
      <c r="CD291" s="454"/>
      <c r="CE291" s="454"/>
      <c r="CF291" s="454"/>
      <c r="CG291" s="454"/>
      <c r="CH291" s="454"/>
      <c r="CI291" s="454"/>
      <c r="CJ291" s="454"/>
      <c r="CK291" s="454"/>
      <c r="CL291" s="454"/>
      <c r="CM291" s="454"/>
      <c r="CN291" s="454"/>
      <c r="CO291" s="454"/>
      <c r="CP291" s="454"/>
      <c r="CQ291" s="454"/>
      <c r="CR291" s="454"/>
      <c r="CS291" s="454"/>
      <c r="CT291" s="454"/>
      <c r="CU291" s="454"/>
      <c r="CV291" s="454"/>
      <c r="CW291" s="454"/>
      <c r="CX291" s="454"/>
      <c r="CY291" s="454"/>
      <c r="CZ291" s="454"/>
      <c r="DA291" s="454"/>
      <c r="DB291" s="454"/>
      <c r="DC291" s="454"/>
      <c r="DD291" s="454"/>
      <c r="DE291" s="454"/>
      <c r="DF291" s="454"/>
      <c r="DG291" s="454"/>
      <c r="DH291" s="454"/>
      <c r="DI291" s="454"/>
      <c r="DJ291" s="454"/>
      <c r="DK291" s="454"/>
      <c r="DL291" s="454"/>
      <c r="DM291" s="454"/>
      <c r="DN291" s="454"/>
      <c r="DO291" s="454"/>
      <c r="DP291" s="454"/>
      <c r="DQ291" s="454"/>
      <c r="DR291" s="454"/>
      <c r="DS291" s="454"/>
      <c r="DT291" s="454"/>
      <c r="DU291" s="454"/>
      <c r="DV291" s="454"/>
      <c r="DW291" s="454"/>
      <c r="DX291" s="454"/>
      <c r="DY291" s="454"/>
      <c r="DZ291" s="454"/>
      <c r="EA291" s="454"/>
      <c r="EB291" s="454"/>
      <c r="EC291" s="454"/>
      <c r="ED291" s="454"/>
      <c r="EE291" s="454"/>
      <c r="EF291" s="454"/>
      <c r="EG291" s="454"/>
      <c r="EH291" s="454"/>
      <c r="EI291" s="454"/>
      <c r="EJ291" s="454"/>
      <c r="EK291" s="454"/>
      <c r="EL291" s="454"/>
      <c r="EM291" s="454"/>
      <c r="EN291" s="454"/>
      <c r="EO291" s="454"/>
      <c r="EP291" s="454"/>
      <c r="EQ291" s="454"/>
      <c r="ER291" s="454"/>
      <c r="ES291" s="454"/>
      <c r="ET291" s="454"/>
      <c r="EU291" s="454"/>
      <c r="EV291" s="454"/>
      <c r="EW291" s="454"/>
      <c r="EX291" s="454"/>
      <c r="EY291" s="454"/>
      <c r="EZ291" s="454"/>
      <c r="FA291" s="454"/>
      <c r="FB291" s="454"/>
      <c r="FC291" s="454"/>
      <c r="FD291" s="454"/>
      <c r="FE291" s="454"/>
      <c r="FF291" s="454"/>
      <c r="FG291" s="454"/>
      <c r="FH291" s="454"/>
      <c r="FI291" s="454"/>
      <c r="FJ291" s="454"/>
      <c r="FK291" s="454"/>
      <c r="FL291" s="454"/>
      <c r="FM291" s="454"/>
      <c r="FN291" s="454"/>
      <c r="FO291" s="454"/>
      <c r="FP291" s="454"/>
      <c r="FQ291" s="454"/>
      <c r="FR291" s="454"/>
      <c r="FS291" s="454"/>
      <c r="FT291" s="454"/>
      <c r="FU291" s="454"/>
      <c r="FV291" s="454"/>
      <c r="FW291" s="454"/>
      <c r="FX291" s="454"/>
      <c r="FY291" s="454"/>
      <c r="FZ291" s="454"/>
      <c r="GA291" s="454"/>
      <c r="GB291" s="454"/>
      <c r="GC291" s="454"/>
      <c r="GD291" s="454"/>
      <c r="GE291" s="454"/>
      <c r="GF291" s="454"/>
      <c r="GG291" s="454"/>
      <c r="GH291" s="454"/>
      <c r="GI291" s="454"/>
      <c r="GJ291" s="454"/>
      <c r="GK291" s="454"/>
      <c r="GL291" s="454"/>
      <c r="GM291" s="454"/>
      <c r="GN291" s="454"/>
      <c r="GO291" s="454"/>
      <c r="GP291" s="454"/>
      <c r="GQ291" s="454"/>
      <c r="GR291" s="454"/>
      <c r="GS291" s="454"/>
      <c r="GT291" s="454"/>
      <c r="GU291" s="454"/>
      <c r="GV291" s="454"/>
      <c r="GW291" s="454"/>
      <c r="GX291" s="454"/>
      <c r="GY291" s="454"/>
      <c r="GZ291" s="454"/>
      <c r="HA291" s="454"/>
      <c r="HB291" s="454"/>
      <c r="HC291" s="454"/>
      <c r="HD291" s="454"/>
      <c r="HE291" s="454"/>
      <c r="HF291" s="454"/>
      <c r="HG291" s="454"/>
      <c r="HH291" s="454"/>
      <c r="HI291" s="454"/>
      <c r="HJ291" s="454"/>
      <c r="HK291" s="454"/>
      <c r="HL291" s="454"/>
      <c r="HM291" s="454"/>
      <c r="HN291" s="454"/>
      <c r="HO291" s="454"/>
      <c r="HP291" s="454"/>
      <c r="HQ291" s="454"/>
      <c r="HR291" s="454"/>
      <c r="HS291" s="454"/>
      <c r="HT291" s="454"/>
      <c r="HU291" s="454"/>
      <c r="HV291" s="454"/>
      <c r="HW291" s="454"/>
      <c r="HX291" s="454"/>
      <c r="HY291" s="454"/>
      <c r="HZ291" s="454"/>
      <c r="IA291" s="454"/>
      <c r="IB291" s="454"/>
      <c r="IC291" s="454"/>
      <c r="ID291" s="454"/>
      <c r="IE291" s="454"/>
      <c r="IF291" s="454"/>
      <c r="IG291" s="454"/>
      <c r="IH291" s="454"/>
      <c r="II291" s="454"/>
      <c r="IJ291" s="454"/>
      <c r="IK291" s="454"/>
      <c r="IL291" s="454"/>
      <c r="IM291" s="454"/>
      <c r="IN291" s="454"/>
      <c r="IO291" s="454"/>
      <c r="IP291" s="454"/>
      <c r="IQ291" s="454"/>
    </row>
    <row r="292" spans="2:251" ht="26.4" x14ac:dyDescent="0.25">
      <c r="B292" s="460">
        <v>98</v>
      </c>
      <c r="C292" s="466" t="s">
        <v>674</v>
      </c>
      <c r="D292" s="471" t="s">
        <v>23</v>
      </c>
      <c r="E292" s="501">
        <f>E290+E194</f>
        <v>127.27000000000001</v>
      </c>
      <c r="F292" s="485">
        <v>700</v>
      </c>
      <c r="G292" s="464">
        <f t="shared" si="27"/>
        <v>89089</v>
      </c>
      <c r="H292" s="485"/>
      <c r="I292" s="464">
        <f t="shared" si="28"/>
        <v>0</v>
      </c>
      <c r="J292" s="464">
        <f t="shared" si="26"/>
        <v>89089</v>
      </c>
      <c r="K292" s="465"/>
    </row>
    <row r="293" spans="2:251" x14ac:dyDescent="0.25">
      <c r="B293" s="460"/>
      <c r="C293" s="483" t="s">
        <v>751</v>
      </c>
      <c r="D293" s="471" t="s">
        <v>10</v>
      </c>
      <c r="E293" s="485">
        <f>E292*1.15/0.83</f>
        <v>176.33795180722893</v>
      </c>
      <c r="F293" s="485"/>
      <c r="G293" s="464">
        <f t="shared" si="27"/>
        <v>0</v>
      </c>
      <c r="H293" s="485">
        <v>410</v>
      </c>
      <c r="I293" s="464">
        <f t="shared" si="28"/>
        <v>72298.560240963867</v>
      </c>
      <c r="J293" s="464">
        <f t="shared" si="26"/>
        <v>72298.560240963867</v>
      </c>
      <c r="K293" s="465"/>
    </row>
    <row r="294" spans="2:251" x14ac:dyDescent="0.25">
      <c r="B294" s="460">
        <v>99</v>
      </c>
      <c r="C294" s="466" t="s">
        <v>676</v>
      </c>
      <c r="D294" s="471" t="s">
        <v>23</v>
      </c>
      <c r="E294" s="485">
        <f>E292+E287</f>
        <v>385.28999999999996</v>
      </c>
      <c r="F294" s="485">
        <v>80</v>
      </c>
      <c r="G294" s="464">
        <f t="shared" si="27"/>
        <v>30823.199999999997</v>
      </c>
      <c r="H294" s="485"/>
      <c r="I294" s="464">
        <f t="shared" si="28"/>
        <v>0</v>
      </c>
      <c r="J294" s="464">
        <f t="shared" si="26"/>
        <v>30823.199999999997</v>
      </c>
      <c r="K294" s="465"/>
    </row>
    <row r="295" spans="2:251" x14ac:dyDescent="0.25">
      <c r="B295" s="460"/>
      <c r="C295" s="470" t="s">
        <v>738</v>
      </c>
      <c r="D295" s="471" t="s">
        <v>10</v>
      </c>
      <c r="E295" s="485">
        <v>48</v>
      </c>
      <c r="F295" s="485"/>
      <c r="G295" s="464">
        <f t="shared" si="27"/>
        <v>0</v>
      </c>
      <c r="H295" s="485">
        <v>700</v>
      </c>
      <c r="I295" s="464">
        <f t="shared" si="28"/>
        <v>33600</v>
      </c>
      <c r="J295" s="464">
        <f t="shared" si="26"/>
        <v>33600</v>
      </c>
      <c r="K295" s="465"/>
    </row>
    <row r="296" spans="2:251" x14ac:dyDescent="0.25">
      <c r="B296" s="460">
        <f>B294+1</f>
        <v>100</v>
      </c>
      <c r="C296" s="466" t="s">
        <v>677</v>
      </c>
      <c r="D296" s="471" t="s">
        <v>23</v>
      </c>
      <c r="E296" s="485">
        <f>E294</f>
        <v>385.28999999999996</v>
      </c>
      <c r="F296" s="485">
        <v>350</v>
      </c>
      <c r="G296" s="464">
        <f t="shared" si="27"/>
        <v>134851.5</v>
      </c>
      <c r="H296" s="485"/>
      <c r="I296" s="464">
        <f t="shared" si="28"/>
        <v>0</v>
      </c>
      <c r="J296" s="464">
        <f t="shared" si="26"/>
        <v>134851.5</v>
      </c>
      <c r="K296" s="465"/>
    </row>
    <row r="297" spans="2:251" x14ac:dyDescent="0.25">
      <c r="B297" s="460"/>
      <c r="C297" s="470" t="s">
        <v>737</v>
      </c>
      <c r="D297" s="471" t="s">
        <v>10</v>
      </c>
      <c r="E297" s="485">
        <v>70</v>
      </c>
      <c r="F297" s="485"/>
      <c r="G297" s="464">
        <f t="shared" si="27"/>
        <v>0</v>
      </c>
      <c r="H297" s="485">
        <v>1000</v>
      </c>
      <c r="I297" s="464">
        <f t="shared" si="28"/>
        <v>70000</v>
      </c>
      <c r="J297" s="464">
        <f t="shared" si="26"/>
        <v>70000</v>
      </c>
      <c r="K297" s="465"/>
    </row>
    <row r="298" spans="2:251" x14ac:dyDescent="0.25">
      <c r="B298" s="460">
        <v>101</v>
      </c>
      <c r="C298" s="508" t="s">
        <v>762</v>
      </c>
      <c r="D298" s="471" t="s">
        <v>678</v>
      </c>
      <c r="E298" s="485">
        <f>116.8*2+132</f>
        <v>365.6</v>
      </c>
      <c r="F298" s="485">
        <v>100</v>
      </c>
      <c r="G298" s="464">
        <f t="shared" si="27"/>
        <v>36560</v>
      </c>
      <c r="H298" s="485"/>
      <c r="I298" s="464">
        <f t="shared" si="28"/>
        <v>0</v>
      </c>
      <c r="J298" s="464">
        <f t="shared" si="26"/>
        <v>36560</v>
      </c>
      <c r="K298" s="465"/>
    </row>
    <row r="299" spans="2:251" x14ac:dyDescent="0.25">
      <c r="B299" s="460"/>
      <c r="C299" s="483" t="s">
        <v>740</v>
      </c>
      <c r="D299" s="471" t="s">
        <v>10</v>
      </c>
      <c r="E299" s="485">
        <f>ROUNDUP(117*1.15/2.2,0)</f>
        <v>62</v>
      </c>
      <c r="F299" s="485"/>
      <c r="G299" s="464">
        <f t="shared" si="27"/>
        <v>0</v>
      </c>
      <c r="H299" s="485">
        <v>118</v>
      </c>
      <c r="I299" s="464">
        <f t="shared" si="28"/>
        <v>7316</v>
      </c>
      <c r="J299" s="464">
        <f t="shared" si="26"/>
        <v>7316</v>
      </c>
      <c r="K299" s="465"/>
    </row>
    <row r="300" spans="2:251" x14ac:dyDescent="0.25">
      <c r="B300" s="460"/>
      <c r="C300" s="509" t="s">
        <v>741</v>
      </c>
      <c r="D300" s="471" t="s">
        <v>10</v>
      </c>
      <c r="E300" s="485">
        <f>ROUNDUP(117*1.15/3,0)</f>
        <v>45</v>
      </c>
      <c r="F300" s="485"/>
      <c r="G300" s="464">
        <f t="shared" si="27"/>
        <v>0</v>
      </c>
      <c r="H300" s="485">
        <v>94</v>
      </c>
      <c r="I300" s="464">
        <f t="shared" si="28"/>
        <v>4230</v>
      </c>
      <c r="J300" s="464">
        <f t="shared" si="26"/>
        <v>4230</v>
      </c>
      <c r="K300" s="465"/>
      <c r="N300" s="455"/>
    </row>
    <row r="301" spans="2:251" x14ac:dyDescent="0.25">
      <c r="B301" s="460"/>
      <c r="C301" s="510" t="s">
        <v>763</v>
      </c>
      <c r="D301" s="471" t="s">
        <v>10</v>
      </c>
      <c r="E301" s="485">
        <v>7</v>
      </c>
      <c r="F301" s="485"/>
      <c r="G301" s="464">
        <f t="shared" si="27"/>
        <v>0</v>
      </c>
      <c r="H301" s="485">
        <v>190</v>
      </c>
      <c r="I301" s="464">
        <f t="shared" si="28"/>
        <v>1330</v>
      </c>
      <c r="J301" s="464">
        <f t="shared" si="26"/>
        <v>1330</v>
      </c>
      <c r="K301" s="465"/>
      <c r="N301" s="455"/>
    </row>
    <row r="302" spans="2:251" ht="26.4" x14ac:dyDescent="0.25">
      <c r="B302" s="460"/>
      <c r="C302" s="511" t="s">
        <v>764</v>
      </c>
      <c r="D302" s="471" t="s">
        <v>10</v>
      </c>
      <c r="E302" s="485">
        <v>75</v>
      </c>
      <c r="F302" s="485"/>
      <c r="G302" s="464">
        <f t="shared" si="27"/>
        <v>0</v>
      </c>
      <c r="H302" s="485">
        <v>97</v>
      </c>
      <c r="I302" s="464">
        <f t="shared" si="28"/>
        <v>7275</v>
      </c>
      <c r="J302" s="464">
        <f t="shared" si="26"/>
        <v>7275</v>
      </c>
      <c r="K302" s="465"/>
      <c r="N302" s="455"/>
    </row>
    <row r="303" spans="2:251" s="490" customFormat="1" x14ac:dyDescent="0.25">
      <c r="B303" s="488">
        <v>102</v>
      </c>
      <c r="C303" s="469" t="s">
        <v>701</v>
      </c>
      <c r="D303" s="464" t="s">
        <v>702</v>
      </c>
      <c r="E303" s="464">
        <v>2</v>
      </c>
      <c r="F303" s="464">
        <v>6000</v>
      </c>
      <c r="G303" s="464">
        <f t="shared" si="27"/>
        <v>12000</v>
      </c>
      <c r="H303" s="464">
        <v>500</v>
      </c>
      <c r="I303" s="464">
        <f t="shared" si="28"/>
        <v>1000</v>
      </c>
      <c r="J303" s="464">
        <f t="shared" si="26"/>
        <v>13000</v>
      </c>
      <c r="K303" s="489"/>
    </row>
    <row r="304" spans="2:251" s="490" customFormat="1" x14ac:dyDescent="0.25">
      <c r="B304" s="488">
        <v>103</v>
      </c>
      <c r="C304" s="469" t="s">
        <v>703</v>
      </c>
      <c r="D304" s="464" t="s">
        <v>702</v>
      </c>
      <c r="E304" s="464">
        <v>1</v>
      </c>
      <c r="F304" s="464">
        <v>8000</v>
      </c>
      <c r="G304" s="464">
        <f t="shared" si="27"/>
        <v>8000</v>
      </c>
      <c r="H304" s="464"/>
      <c r="I304" s="464">
        <f t="shared" si="28"/>
        <v>0</v>
      </c>
      <c r="J304" s="464">
        <f t="shared" si="26"/>
        <v>8000</v>
      </c>
      <c r="K304" s="489"/>
    </row>
    <row r="305" spans="2:11" x14ac:dyDescent="0.25">
      <c r="B305" s="460"/>
      <c r="C305" s="483" t="s">
        <v>632</v>
      </c>
      <c r="D305" s="462" t="s">
        <v>479</v>
      </c>
      <c r="E305" s="462">
        <v>3</v>
      </c>
      <c r="F305" s="464"/>
      <c r="G305" s="464">
        <f t="shared" si="27"/>
        <v>0</v>
      </c>
      <c r="H305" s="464">
        <v>6000</v>
      </c>
      <c r="I305" s="464">
        <f t="shared" si="28"/>
        <v>18000</v>
      </c>
      <c r="J305" s="464">
        <f t="shared" si="26"/>
        <v>18000</v>
      </c>
      <c r="K305" s="465"/>
    </row>
    <row r="306" spans="2:11" x14ac:dyDescent="0.25">
      <c r="B306" s="640" t="s">
        <v>635</v>
      </c>
      <c r="C306" s="640"/>
      <c r="D306" s="640"/>
      <c r="E306" s="640"/>
      <c r="F306" s="640"/>
      <c r="G306" s="640"/>
      <c r="H306" s="640"/>
      <c r="I306" s="640"/>
      <c r="J306" s="464">
        <f>SUM(G280:G305)</f>
        <v>556023.69999999995</v>
      </c>
      <c r="K306" s="465"/>
    </row>
    <row r="307" spans="2:11" x14ac:dyDescent="0.25">
      <c r="B307" s="640" t="s">
        <v>471</v>
      </c>
      <c r="C307" s="640"/>
      <c r="D307" s="640"/>
      <c r="E307" s="640"/>
      <c r="F307" s="640"/>
      <c r="G307" s="640"/>
      <c r="H307" s="640"/>
      <c r="I307" s="640"/>
      <c r="J307" s="464">
        <f>SUM(I280:I305)</f>
        <v>426719.57228915661</v>
      </c>
      <c r="K307" s="465"/>
    </row>
    <row r="308" spans="2:11" x14ac:dyDescent="0.25">
      <c r="B308" s="460"/>
      <c r="C308" s="470" t="s">
        <v>248</v>
      </c>
      <c r="D308" s="462"/>
      <c r="E308" s="481">
        <v>0.06</v>
      </c>
      <c r="F308" s="464"/>
      <c r="G308" s="464"/>
      <c r="H308" s="464"/>
      <c r="I308" s="464"/>
      <c r="J308" s="464">
        <f>SUM(J307)*$E308</f>
        <v>25603.174337349396</v>
      </c>
      <c r="K308" s="465"/>
    </row>
    <row r="309" spans="2:11" x14ac:dyDescent="0.25">
      <c r="B309" s="460"/>
      <c r="C309" s="470" t="s">
        <v>631</v>
      </c>
      <c r="D309" s="462"/>
      <c r="E309" s="481">
        <v>0.03</v>
      </c>
      <c r="F309" s="464"/>
      <c r="G309" s="464"/>
      <c r="H309" s="464"/>
      <c r="I309" s="464"/>
      <c r="J309" s="464">
        <f>SUM(J306:J308)*$E309</f>
        <v>30250.393398795175</v>
      </c>
      <c r="K309" s="465"/>
    </row>
    <row r="310" spans="2:11" x14ac:dyDescent="0.25">
      <c r="B310" s="460"/>
      <c r="C310" s="470" t="s">
        <v>629</v>
      </c>
      <c r="D310" s="462"/>
      <c r="E310" s="481">
        <v>0.02</v>
      </c>
      <c r="F310" s="464"/>
      <c r="G310" s="464"/>
      <c r="H310" s="464"/>
      <c r="I310" s="464"/>
      <c r="J310" s="464">
        <f>SUM(J306:J309)*$E310</f>
        <v>20771.936800506021</v>
      </c>
      <c r="K310" s="465"/>
    </row>
    <row r="311" spans="2:11" x14ac:dyDescent="0.25">
      <c r="B311" s="640" t="s">
        <v>742</v>
      </c>
      <c r="C311" s="640"/>
      <c r="D311" s="640"/>
      <c r="E311" s="640"/>
      <c r="F311" s="640"/>
      <c r="G311" s="640"/>
      <c r="H311" s="640"/>
      <c r="I311" s="640"/>
      <c r="J311" s="482">
        <f>SUM(J306:J310)</f>
        <v>1059368.7768258071</v>
      </c>
      <c r="K311" s="465"/>
    </row>
    <row r="312" spans="2:11" x14ac:dyDescent="0.25">
      <c r="B312" s="647" t="s">
        <v>523</v>
      </c>
      <c r="C312" s="647"/>
      <c r="D312" s="647"/>
      <c r="E312" s="647"/>
      <c r="F312" s="647"/>
      <c r="G312" s="647"/>
      <c r="H312" s="647"/>
      <c r="I312" s="647"/>
      <c r="J312" s="482">
        <f>J106+J135+J173+J221+J238+J271+J306+J59</f>
        <v>2222995.4812500002</v>
      </c>
      <c r="K312" s="465"/>
    </row>
    <row r="313" spans="2:11" x14ac:dyDescent="0.25">
      <c r="B313" s="647" t="s">
        <v>524</v>
      </c>
      <c r="C313" s="647"/>
      <c r="D313" s="647"/>
      <c r="E313" s="647"/>
      <c r="F313" s="647"/>
      <c r="G313" s="647"/>
      <c r="H313" s="647"/>
      <c r="I313" s="647"/>
      <c r="J313" s="482">
        <f>J107+J136+J174+J222+J239+J272+J307+J60</f>
        <v>2930978.2107891566</v>
      </c>
      <c r="K313" s="465"/>
    </row>
    <row r="314" spans="2:11" x14ac:dyDescent="0.25">
      <c r="B314" s="647" t="s">
        <v>510</v>
      </c>
      <c r="C314" s="647"/>
      <c r="D314" s="647"/>
      <c r="E314" s="647"/>
      <c r="F314" s="647"/>
      <c r="G314" s="647"/>
      <c r="H314" s="647"/>
      <c r="I314" s="647"/>
      <c r="J314" s="482">
        <f>J111+J140+J178+J226+J244+J276+J311+J64</f>
        <v>5665093.861159238</v>
      </c>
      <c r="K314" s="465"/>
    </row>
    <row r="316" spans="2:11" x14ac:dyDescent="0.25">
      <c r="B316" s="646" t="s">
        <v>826</v>
      </c>
      <c r="C316" s="646"/>
      <c r="D316" s="646"/>
      <c r="E316" s="646"/>
      <c r="F316" s="646"/>
      <c r="G316" s="646"/>
      <c r="H316" s="646"/>
      <c r="I316" s="646"/>
      <c r="J316" s="646"/>
    </row>
    <row r="317" spans="2:11" x14ac:dyDescent="0.25">
      <c r="B317" s="646" t="s">
        <v>827</v>
      </c>
      <c r="C317" s="638"/>
      <c r="D317" s="638"/>
      <c r="E317" s="638"/>
      <c r="F317" s="638"/>
      <c r="G317" s="638"/>
      <c r="H317" s="638"/>
      <c r="I317" s="638"/>
      <c r="J317" s="638"/>
    </row>
    <row r="318" spans="2:11" x14ac:dyDescent="0.25">
      <c r="B318" s="638" t="s">
        <v>828</v>
      </c>
      <c r="C318" s="638"/>
      <c r="D318" s="638"/>
      <c r="E318" s="638"/>
      <c r="F318" s="638"/>
      <c r="G318" s="638"/>
      <c r="H318" s="638"/>
      <c r="I318" s="638"/>
      <c r="J318" s="638"/>
    </row>
    <row r="320" spans="2:11" x14ac:dyDescent="0.25">
      <c r="B320" s="512" t="s">
        <v>748</v>
      </c>
    </row>
    <row r="321" spans="2:3" x14ac:dyDescent="0.25">
      <c r="B321" s="515" t="s">
        <v>743</v>
      </c>
    </row>
    <row r="322" spans="2:3" x14ac:dyDescent="0.25">
      <c r="B322" s="516"/>
    </row>
    <row r="323" spans="2:3" x14ac:dyDescent="0.25">
      <c r="B323" s="517" t="s">
        <v>744</v>
      </c>
    </row>
    <row r="324" spans="2:3" x14ac:dyDescent="0.25">
      <c r="B324" s="515" t="s">
        <v>745</v>
      </c>
    </row>
    <row r="325" spans="2:3" x14ac:dyDescent="0.25">
      <c r="B325" s="515" t="s">
        <v>746</v>
      </c>
    </row>
    <row r="326" spans="2:3" x14ac:dyDescent="0.25">
      <c r="B326" s="515" t="s">
        <v>829</v>
      </c>
    </row>
    <row r="327" spans="2:3" x14ac:dyDescent="0.25">
      <c r="B327" s="515" t="s">
        <v>779</v>
      </c>
    </row>
    <row r="328" spans="2:3" x14ac:dyDescent="0.25">
      <c r="B328" s="515" t="s">
        <v>778</v>
      </c>
    </row>
    <row r="329" spans="2:3" x14ac:dyDescent="0.25">
      <c r="B329" s="515" t="s">
        <v>747</v>
      </c>
    </row>
    <row r="330" spans="2:3" x14ac:dyDescent="0.25">
      <c r="B330" s="518" t="s">
        <v>780</v>
      </c>
    </row>
    <row r="331" spans="2:3" x14ac:dyDescent="0.25">
      <c r="B331" s="518" t="s">
        <v>749</v>
      </c>
    </row>
    <row r="332" spans="2:3" x14ac:dyDescent="0.25">
      <c r="B332" s="518" t="s">
        <v>750</v>
      </c>
    </row>
    <row r="333" spans="2:3" x14ac:dyDescent="0.25">
      <c r="B333" s="518"/>
    </row>
    <row r="334" spans="2:3" ht="26.4" x14ac:dyDescent="0.25">
      <c r="C334" s="520" t="s">
        <v>824</v>
      </c>
    </row>
  </sheetData>
  <sheetProtection algorithmName="SHA-512" hashValue="pn9Q/GE1MhAFUUUAnQbx7X81UmFMcSlPNusjUSLx3fINdOO6Jkw4Pj7DQyZTiX1Mc1CfC331bkckQXwj4Vk6rg==" saltValue="OBIQH0B0082ESIASSEoXdQ==" spinCount="100000" sheet="1" objects="1" scenarios="1" selectLockedCells="1" selectUnlockedCells="1"/>
  <mergeCells count="118">
    <mergeCell ref="K112:K113"/>
    <mergeCell ref="B114:J114"/>
    <mergeCell ref="B143:J143"/>
    <mergeCell ref="B141:B142"/>
    <mergeCell ref="C141:C142"/>
    <mergeCell ref="D141:D142"/>
    <mergeCell ref="E141:E142"/>
    <mergeCell ref="F141:G141"/>
    <mergeCell ref="H141:I141"/>
    <mergeCell ref="J141:J142"/>
    <mergeCell ref="K141:K142"/>
    <mergeCell ref="B112:B113"/>
    <mergeCell ref="C112:C113"/>
    <mergeCell ref="D112:D113"/>
    <mergeCell ref="E112:E113"/>
    <mergeCell ref="F112:G112"/>
    <mergeCell ref="K245:K246"/>
    <mergeCell ref="B277:B278"/>
    <mergeCell ref="C277:C278"/>
    <mergeCell ref="D277:D278"/>
    <mergeCell ref="E277:E278"/>
    <mergeCell ref="F277:G277"/>
    <mergeCell ref="H277:I277"/>
    <mergeCell ref="J277:J278"/>
    <mergeCell ref="K277:K278"/>
    <mergeCell ref="K179:K180"/>
    <mergeCell ref="B227:B228"/>
    <mergeCell ref="C227:C228"/>
    <mergeCell ref="D227:D228"/>
    <mergeCell ref="E227:E228"/>
    <mergeCell ref="F227:G227"/>
    <mergeCell ref="H227:I227"/>
    <mergeCell ref="J227:J228"/>
    <mergeCell ref="K227:K228"/>
    <mergeCell ref="B221:I221"/>
    <mergeCell ref="J179:J180"/>
    <mergeCell ref="B222:I222"/>
    <mergeCell ref="B179:B180"/>
    <mergeCell ref="C179:C180"/>
    <mergeCell ref="D179:D180"/>
    <mergeCell ref="E179:E180"/>
    <mergeCell ref="F179:G179"/>
    <mergeCell ref="H179:I179"/>
    <mergeCell ref="B226:I226"/>
    <mergeCell ref="B1:C1"/>
    <mergeCell ref="D1:E1"/>
    <mergeCell ref="D3:E3"/>
    <mergeCell ref="D6:E6"/>
    <mergeCell ref="D7:E7"/>
    <mergeCell ref="D4:E4"/>
    <mergeCell ref="B5:C5"/>
    <mergeCell ref="D5:E5"/>
    <mergeCell ref="K10:K11"/>
    <mergeCell ref="B3:C3"/>
    <mergeCell ref="B8:C8"/>
    <mergeCell ref="B9:C9"/>
    <mergeCell ref="B4:C4"/>
    <mergeCell ref="E10:E11"/>
    <mergeCell ref="B2:C2"/>
    <mergeCell ref="D2:E2"/>
    <mergeCell ref="B238:I238"/>
    <mergeCell ref="B239:I239"/>
    <mergeCell ref="B244:I244"/>
    <mergeCell ref="B67:J67"/>
    <mergeCell ref="B10:B11"/>
    <mergeCell ref="B106:I106"/>
    <mergeCell ref="B111:I111"/>
    <mergeCell ref="H112:I112"/>
    <mergeCell ref="J112:J113"/>
    <mergeCell ref="B12:J12"/>
    <mergeCell ref="B64:I64"/>
    <mergeCell ref="B59:I59"/>
    <mergeCell ref="B60:I60"/>
    <mergeCell ref="B65:B66"/>
    <mergeCell ref="C65:C66"/>
    <mergeCell ref="D65:D66"/>
    <mergeCell ref="E65:E66"/>
    <mergeCell ref="F65:G65"/>
    <mergeCell ref="H65:I65"/>
    <mergeCell ref="J65:J66"/>
    <mergeCell ref="B317:J317"/>
    <mergeCell ref="B314:I314"/>
    <mergeCell ref="B316:J316"/>
    <mergeCell ref="B245:B246"/>
    <mergeCell ref="C245:C246"/>
    <mergeCell ref="D245:D246"/>
    <mergeCell ref="E245:E246"/>
    <mergeCell ref="F245:G245"/>
    <mergeCell ref="H245:I245"/>
    <mergeCell ref="J245:J246"/>
    <mergeCell ref="B312:I312"/>
    <mergeCell ref="B276:I276"/>
    <mergeCell ref="B313:I313"/>
    <mergeCell ref="B311:I311"/>
    <mergeCell ref="B318:J318"/>
    <mergeCell ref="B6:C6"/>
    <mergeCell ref="B271:I271"/>
    <mergeCell ref="B140:I140"/>
    <mergeCell ref="B181:J181"/>
    <mergeCell ref="B107:I107"/>
    <mergeCell ref="H10:I10"/>
    <mergeCell ref="J10:J11"/>
    <mergeCell ref="C10:C11"/>
    <mergeCell ref="F10:G10"/>
    <mergeCell ref="D10:D11"/>
    <mergeCell ref="D8:E8"/>
    <mergeCell ref="D9:E9"/>
    <mergeCell ref="B307:I307"/>
    <mergeCell ref="B272:I272"/>
    <mergeCell ref="B247:J247"/>
    <mergeCell ref="B135:I135"/>
    <mergeCell ref="B136:I136"/>
    <mergeCell ref="B229:J229"/>
    <mergeCell ref="B279:J279"/>
    <mergeCell ref="B173:I173"/>
    <mergeCell ref="B174:I174"/>
    <mergeCell ref="B178:I178"/>
    <mergeCell ref="B306:I306"/>
  </mergeCells>
  <pageMargins left="0.23622047244094491" right="0.23622047244094491" top="0.35433070866141736" bottom="0.35433070866141736" header="0.31496062992125984" footer="0.31496062992125984"/>
  <pageSetup paperSize="9" scale="76" orientation="portrait" horizontalDpi="360" verticalDpi="360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37" workbookViewId="0">
      <selection activeCell="I68" sqref="I68"/>
    </sheetView>
  </sheetViews>
  <sheetFormatPr defaultRowHeight="13.2" x14ac:dyDescent="0.25"/>
  <cols>
    <col min="1" max="1" width="39.88671875" customWidth="1"/>
    <col min="2" max="2" width="15.6640625" customWidth="1"/>
    <col min="3" max="3" width="13.33203125" customWidth="1"/>
  </cols>
  <sheetData>
    <row r="1" spans="1:6" ht="13.8" x14ac:dyDescent="0.25">
      <c r="A1" s="655" t="s">
        <v>0</v>
      </c>
      <c r="B1" s="545" t="s">
        <v>22</v>
      </c>
      <c r="C1" s="598" t="s">
        <v>184</v>
      </c>
      <c r="D1" s="545" t="s">
        <v>186</v>
      </c>
      <c r="E1" s="545"/>
      <c r="F1" s="545" t="s">
        <v>182</v>
      </c>
    </row>
    <row r="2" spans="1:6" ht="13.8" x14ac:dyDescent="0.25">
      <c r="A2" s="655"/>
      <c r="B2" s="545"/>
      <c r="C2" s="598"/>
      <c r="D2" s="213" t="s">
        <v>189</v>
      </c>
      <c r="E2" s="213" t="s">
        <v>190</v>
      </c>
      <c r="F2" s="545"/>
    </row>
    <row r="3" spans="1:6" ht="13.8" x14ac:dyDescent="0.25">
      <c r="A3" s="657" t="s">
        <v>191</v>
      </c>
      <c r="B3" s="657"/>
      <c r="C3" s="657"/>
      <c r="D3" s="657"/>
      <c r="E3" s="657"/>
      <c r="F3" s="657"/>
    </row>
    <row r="4" spans="1:6" ht="13.8" x14ac:dyDescent="0.25">
      <c r="A4" s="245" t="s">
        <v>192</v>
      </c>
      <c r="B4" s="215" t="s">
        <v>193</v>
      </c>
      <c r="C4" s="216">
        <v>188</v>
      </c>
      <c r="D4" s="217"/>
      <c r="E4" s="217"/>
      <c r="F4" s="218"/>
    </row>
    <row r="5" spans="1:6" ht="13.8" x14ac:dyDescent="0.25">
      <c r="A5" s="245" t="s">
        <v>194</v>
      </c>
      <c r="B5" s="215" t="s">
        <v>195</v>
      </c>
      <c r="C5" s="219">
        <v>0.5</v>
      </c>
      <c r="D5" s="217"/>
      <c r="E5" s="217"/>
      <c r="F5" s="218"/>
    </row>
    <row r="6" spans="1:6" ht="13.8" x14ac:dyDescent="0.25">
      <c r="A6" s="245" t="s">
        <v>196</v>
      </c>
      <c r="B6" s="215" t="s">
        <v>193</v>
      </c>
      <c r="C6" s="216">
        <v>134</v>
      </c>
      <c r="D6" s="217"/>
      <c r="E6" s="217"/>
      <c r="F6" s="218"/>
    </row>
    <row r="7" spans="1:6" ht="13.8" x14ac:dyDescent="0.25">
      <c r="A7" s="245" t="s">
        <v>197</v>
      </c>
      <c r="B7" s="215" t="s">
        <v>24</v>
      </c>
      <c r="C7" s="216">
        <v>87</v>
      </c>
      <c r="D7" s="217"/>
      <c r="E7" s="217"/>
      <c r="F7" s="218"/>
    </row>
    <row r="8" spans="1:6" ht="13.8" x14ac:dyDescent="0.25">
      <c r="A8" s="245" t="s">
        <v>198</v>
      </c>
      <c r="B8" s="215" t="s">
        <v>24</v>
      </c>
      <c r="C8" s="216">
        <v>0</v>
      </c>
      <c r="D8" s="217"/>
      <c r="E8" s="217"/>
      <c r="F8" s="218"/>
    </row>
    <row r="9" spans="1:6" ht="13.8" x14ac:dyDescent="0.25">
      <c r="A9" s="245" t="s">
        <v>199</v>
      </c>
      <c r="B9" s="215" t="s">
        <v>10</v>
      </c>
      <c r="C9" s="216">
        <v>4</v>
      </c>
      <c r="D9" s="217"/>
      <c r="E9" s="217"/>
      <c r="F9" s="218"/>
    </row>
    <row r="10" spans="1:6" ht="13.8" x14ac:dyDescent="0.25">
      <c r="A10" s="247" t="s">
        <v>200</v>
      </c>
      <c r="B10" s="215"/>
      <c r="C10" s="217"/>
      <c r="D10" s="217"/>
      <c r="E10" s="217"/>
      <c r="F10" s="218"/>
    </row>
    <row r="11" spans="1:6" ht="13.8" x14ac:dyDescent="0.25">
      <c r="A11" s="245" t="s">
        <v>202</v>
      </c>
      <c r="B11" s="215" t="s">
        <v>203</v>
      </c>
      <c r="C11" s="217" t="e">
        <f>Калькулятор!F12</f>
        <v>#REF!</v>
      </c>
      <c r="D11" s="217">
        <v>2500</v>
      </c>
      <c r="E11" s="217" t="e">
        <f t="shared" ref="E11:E20" si="0">C11*D11</f>
        <v>#REF!</v>
      </c>
      <c r="F11" s="218"/>
    </row>
    <row r="12" spans="1:6" ht="13.8" x14ac:dyDescent="0.25">
      <c r="A12" s="245" t="s">
        <v>204</v>
      </c>
      <c r="B12" s="215" t="s">
        <v>193</v>
      </c>
      <c r="C12" s="217">
        <f>Калькулятор!F13</f>
        <v>0</v>
      </c>
      <c r="D12" s="217">
        <v>10</v>
      </c>
      <c r="E12" s="217">
        <f t="shared" si="0"/>
        <v>0</v>
      </c>
      <c r="F12" s="218"/>
    </row>
    <row r="13" spans="1:6" ht="27.6" x14ac:dyDescent="0.25">
      <c r="A13" s="245" t="s">
        <v>205</v>
      </c>
      <c r="B13" s="215" t="s">
        <v>206</v>
      </c>
      <c r="C13" s="217">
        <f>Калькулятор!F14</f>
        <v>0</v>
      </c>
      <c r="D13" s="217">
        <v>150</v>
      </c>
      <c r="E13" s="217">
        <f t="shared" si="0"/>
        <v>0</v>
      </c>
      <c r="F13" s="218"/>
    </row>
    <row r="14" spans="1:6" ht="13.8" x14ac:dyDescent="0.25">
      <c r="A14" s="245" t="s">
        <v>207</v>
      </c>
      <c r="B14" s="215" t="s">
        <v>206</v>
      </c>
      <c r="C14" s="217">
        <f>Калькулятор!F15</f>
        <v>0</v>
      </c>
      <c r="D14" s="217">
        <v>200</v>
      </c>
      <c r="E14" s="217">
        <f t="shared" si="0"/>
        <v>0</v>
      </c>
      <c r="F14" s="218"/>
    </row>
    <row r="15" spans="1:6" ht="13.8" x14ac:dyDescent="0.25">
      <c r="A15" s="245" t="s">
        <v>208</v>
      </c>
      <c r="B15" s="215" t="s">
        <v>10</v>
      </c>
      <c r="C15" s="217">
        <f>[2]Калькулятор!C16</f>
        <v>0</v>
      </c>
      <c r="D15" s="217">
        <v>1500</v>
      </c>
      <c r="E15" s="217">
        <f t="shared" si="0"/>
        <v>0</v>
      </c>
      <c r="F15" s="218"/>
    </row>
    <row r="16" spans="1:6" ht="13.8" x14ac:dyDescent="0.25">
      <c r="A16" s="245" t="s">
        <v>209</v>
      </c>
      <c r="B16" s="215" t="s">
        <v>193</v>
      </c>
      <c r="C16" s="217">
        <f>[2]Калькулятор!C17</f>
        <v>0</v>
      </c>
      <c r="D16" s="217">
        <v>30</v>
      </c>
      <c r="E16" s="217">
        <f t="shared" si="0"/>
        <v>0</v>
      </c>
      <c r="F16" s="218"/>
    </row>
    <row r="17" spans="1:6" ht="13.8" x14ac:dyDescent="0.25">
      <c r="A17" s="245" t="s">
        <v>210</v>
      </c>
      <c r="B17" s="215" t="s">
        <v>193</v>
      </c>
      <c r="C17" s="217">
        <f>[2]Калькулятор!C18</f>
        <v>0</v>
      </c>
      <c r="D17" s="217">
        <v>200</v>
      </c>
      <c r="E17" s="217">
        <f t="shared" si="0"/>
        <v>0</v>
      </c>
      <c r="F17" s="218"/>
    </row>
    <row r="18" spans="1:6" ht="13.8" x14ac:dyDescent="0.25">
      <c r="A18" s="245" t="s">
        <v>211</v>
      </c>
      <c r="B18" s="215" t="s">
        <v>212</v>
      </c>
      <c r="C18" s="217">
        <f>[2]Калькулятор!C19</f>
        <v>0</v>
      </c>
      <c r="D18" s="217">
        <v>5000</v>
      </c>
      <c r="E18" s="217">
        <f t="shared" si="0"/>
        <v>0</v>
      </c>
      <c r="F18" s="218"/>
    </row>
    <row r="19" spans="1:6" ht="13.8" x14ac:dyDescent="0.25">
      <c r="A19" s="245" t="s">
        <v>213</v>
      </c>
      <c r="B19" s="215" t="s">
        <v>206</v>
      </c>
      <c r="C19" s="217">
        <f>[2]Калькулятор!C20</f>
        <v>0</v>
      </c>
      <c r="D19" s="217">
        <v>1500</v>
      </c>
      <c r="E19" s="217">
        <f t="shared" si="0"/>
        <v>0</v>
      </c>
      <c r="F19" s="218"/>
    </row>
    <row r="20" spans="1:6" ht="13.8" x14ac:dyDescent="0.25">
      <c r="A20" s="245" t="s">
        <v>214</v>
      </c>
      <c r="B20" s="215" t="s">
        <v>10</v>
      </c>
      <c r="C20" s="217">
        <f>[2]Калькулятор!C21</f>
        <v>0</v>
      </c>
      <c r="D20" s="217">
        <v>1200</v>
      </c>
      <c r="E20" s="217">
        <f t="shared" si="0"/>
        <v>0</v>
      </c>
      <c r="F20" s="218"/>
    </row>
    <row r="21" spans="1:6" ht="13.8" x14ac:dyDescent="0.25">
      <c r="A21" s="248" t="s">
        <v>249</v>
      </c>
      <c r="B21" s="232"/>
      <c r="C21" s="233"/>
      <c r="D21" s="233"/>
      <c r="E21" s="234" t="e">
        <f>SUM(E11:E20)</f>
        <v>#REF!</v>
      </c>
      <c r="F21" s="235"/>
    </row>
    <row r="22" spans="1:6" ht="13.8" x14ac:dyDescent="0.25">
      <c r="A22" s="539"/>
      <c r="B22" s="540"/>
      <c r="C22" s="540"/>
      <c r="D22" s="540"/>
      <c r="E22" s="540"/>
      <c r="F22" s="541"/>
    </row>
    <row r="23" spans="1:6" ht="13.8" x14ac:dyDescent="0.25">
      <c r="A23" s="656" t="s">
        <v>250</v>
      </c>
      <c r="B23" s="656"/>
      <c r="C23" s="656"/>
      <c r="D23" s="656"/>
      <c r="E23" s="656"/>
      <c r="F23" s="656"/>
    </row>
    <row r="24" spans="1:6" ht="13.8" x14ac:dyDescent="0.25">
      <c r="A24" s="249" t="s">
        <v>200</v>
      </c>
      <c r="B24" s="236"/>
      <c r="C24" s="237"/>
      <c r="D24" s="237"/>
      <c r="E24" s="237"/>
      <c r="F24" s="238"/>
    </row>
    <row r="25" spans="1:6" ht="13.8" x14ac:dyDescent="0.25">
      <c r="A25" s="245" t="s">
        <v>252</v>
      </c>
      <c r="B25" s="215" t="s">
        <v>24</v>
      </c>
      <c r="C25" s="221">
        <f>[2]Калькулятор!C51</f>
        <v>441.25</v>
      </c>
      <c r="D25" s="217">
        <v>80</v>
      </c>
      <c r="E25" s="217">
        <f t="shared" ref="E25:E34" si="1">C25*D25</f>
        <v>35300</v>
      </c>
      <c r="F25" s="218"/>
    </row>
    <row r="26" spans="1:6" ht="13.8" x14ac:dyDescent="0.25">
      <c r="A26" s="245" t="s">
        <v>253</v>
      </c>
      <c r="B26" s="215" t="s">
        <v>24</v>
      </c>
      <c r="C26" s="221">
        <f>[2]Калькулятор!C52</f>
        <v>134</v>
      </c>
      <c r="D26" s="217">
        <v>150</v>
      </c>
      <c r="E26" s="217">
        <f t="shared" si="1"/>
        <v>20100</v>
      </c>
      <c r="F26" s="218"/>
    </row>
    <row r="27" spans="1:6" ht="13.8" x14ac:dyDescent="0.25">
      <c r="A27" s="243" t="s">
        <v>254</v>
      </c>
      <c r="B27" s="215" t="s">
        <v>206</v>
      </c>
      <c r="C27" s="221">
        <f>[2]Калькулятор!C53</f>
        <v>0</v>
      </c>
      <c r="D27" s="217">
        <v>3000</v>
      </c>
      <c r="E27" s="217">
        <f t="shared" si="1"/>
        <v>0</v>
      </c>
      <c r="F27" s="218"/>
    </row>
    <row r="28" spans="1:6" ht="13.8" x14ac:dyDescent="0.25">
      <c r="A28" s="243" t="s">
        <v>255</v>
      </c>
      <c r="B28" s="215" t="s">
        <v>206</v>
      </c>
      <c r="C28" s="221">
        <f>[2]Калькулятор!C54</f>
        <v>138.31</v>
      </c>
      <c r="D28" s="217">
        <v>4000</v>
      </c>
      <c r="E28" s="217">
        <f t="shared" si="1"/>
        <v>553240</v>
      </c>
      <c r="F28" s="218"/>
    </row>
    <row r="29" spans="1:6" ht="13.8" x14ac:dyDescent="0.25">
      <c r="A29" s="243" t="s">
        <v>256</v>
      </c>
      <c r="B29" s="215" t="s">
        <v>206</v>
      </c>
      <c r="C29" s="221">
        <f>[2]Калькулятор!C55</f>
        <v>18.16</v>
      </c>
      <c r="D29" s="217">
        <v>6000</v>
      </c>
      <c r="E29" s="217">
        <f t="shared" si="1"/>
        <v>108960</v>
      </c>
      <c r="F29" s="218"/>
    </row>
    <row r="30" spans="1:6" ht="13.8" x14ac:dyDescent="0.25">
      <c r="A30" s="222" t="s">
        <v>257</v>
      </c>
      <c r="B30" s="215" t="s">
        <v>193</v>
      </c>
      <c r="C30" s="221">
        <f>[2]Калькулятор!C56</f>
        <v>19.440000000000001</v>
      </c>
      <c r="D30" s="217">
        <v>100</v>
      </c>
      <c r="E30" s="217">
        <f t="shared" si="1"/>
        <v>1944.0000000000002</v>
      </c>
      <c r="F30" s="218"/>
    </row>
    <row r="31" spans="1:6" ht="13.8" x14ac:dyDescent="0.25">
      <c r="A31" s="243" t="s">
        <v>258</v>
      </c>
      <c r="B31" s="215" t="s">
        <v>206</v>
      </c>
      <c r="C31" s="221">
        <f>[2]Калькулятор!C57</f>
        <v>379.2</v>
      </c>
      <c r="D31" s="217">
        <v>8000</v>
      </c>
      <c r="E31" s="217">
        <f t="shared" si="1"/>
        <v>3033600</v>
      </c>
      <c r="F31" s="218"/>
    </row>
    <row r="32" spans="1:6" ht="13.8" x14ac:dyDescent="0.25">
      <c r="A32" s="243" t="s">
        <v>259</v>
      </c>
      <c r="B32" s="215" t="s">
        <v>10</v>
      </c>
      <c r="C32" s="221">
        <f>[2]Калькулятор!C58</f>
        <v>0</v>
      </c>
      <c r="D32" s="217">
        <v>1000</v>
      </c>
      <c r="E32" s="217">
        <f t="shared" si="1"/>
        <v>0</v>
      </c>
      <c r="F32" s="218"/>
    </row>
    <row r="33" spans="1:6" ht="13.8" x14ac:dyDescent="0.25">
      <c r="A33" s="243" t="s">
        <v>260</v>
      </c>
      <c r="B33" s="215" t="s">
        <v>10</v>
      </c>
      <c r="C33" s="221">
        <f>[2]Калькулятор!C59</f>
        <v>35</v>
      </c>
      <c r="D33" s="217">
        <v>1000</v>
      </c>
      <c r="E33" s="217">
        <f t="shared" si="1"/>
        <v>35000</v>
      </c>
      <c r="F33" s="218"/>
    </row>
    <row r="34" spans="1:6" ht="13.8" x14ac:dyDescent="0.25">
      <c r="A34" s="243" t="s">
        <v>261</v>
      </c>
      <c r="B34" s="215" t="s">
        <v>221</v>
      </c>
      <c r="C34" s="221">
        <f>[2]Калькулятор!C60</f>
        <v>1</v>
      </c>
      <c r="D34" s="217">
        <v>1000</v>
      </c>
      <c r="E34" s="217">
        <f t="shared" si="1"/>
        <v>1000</v>
      </c>
      <c r="F34" s="218"/>
    </row>
    <row r="35" spans="1:6" ht="13.8" x14ac:dyDescent="0.25">
      <c r="A35" s="248" t="s">
        <v>281</v>
      </c>
      <c r="B35" s="232"/>
      <c r="C35" s="233"/>
      <c r="D35" s="233"/>
      <c r="E35" s="234">
        <f>SUM(E25:E34)</f>
        <v>3789144</v>
      </c>
      <c r="F35" s="235"/>
    </row>
    <row r="36" spans="1:6" ht="13.8" x14ac:dyDescent="0.25">
      <c r="A36" s="539"/>
      <c r="B36" s="540"/>
      <c r="C36" s="540"/>
      <c r="D36" s="540"/>
      <c r="E36" s="540"/>
      <c r="F36" s="541"/>
    </row>
    <row r="37" spans="1:6" ht="13.8" x14ac:dyDescent="0.25">
      <c r="A37" s="657" t="s">
        <v>282</v>
      </c>
      <c r="B37" s="657"/>
      <c r="C37" s="657"/>
      <c r="D37" s="657"/>
      <c r="E37" s="657"/>
      <c r="F37" s="657"/>
    </row>
    <row r="38" spans="1:6" ht="13.8" x14ac:dyDescent="0.25">
      <c r="A38" s="250" t="s">
        <v>200</v>
      </c>
      <c r="B38" s="240"/>
      <c r="C38" s="241"/>
      <c r="D38" s="241"/>
      <c r="E38" s="241"/>
      <c r="F38" s="242"/>
    </row>
    <row r="39" spans="1:6" ht="13.8" x14ac:dyDescent="0.25">
      <c r="A39" s="245" t="s">
        <v>283</v>
      </c>
      <c r="B39" s="215" t="s">
        <v>193</v>
      </c>
      <c r="C39" s="221">
        <f>[2]Калькулятор!C95</f>
        <v>0</v>
      </c>
      <c r="D39" s="217">
        <v>60</v>
      </c>
      <c r="E39" s="217">
        <f t="shared" ref="E39:E66" si="2">C39*D39</f>
        <v>0</v>
      </c>
      <c r="F39" s="218"/>
    </row>
    <row r="40" spans="1:6" ht="13.8" x14ac:dyDescent="0.25">
      <c r="A40" s="245" t="s">
        <v>284</v>
      </c>
      <c r="B40" s="215" t="s">
        <v>193</v>
      </c>
      <c r="C40" s="221">
        <f>[2]Калькулятор!C96</f>
        <v>674.81</v>
      </c>
      <c r="D40" s="217">
        <v>100</v>
      </c>
      <c r="E40" s="217">
        <f t="shared" si="2"/>
        <v>67481</v>
      </c>
      <c r="F40" s="218"/>
    </row>
    <row r="41" spans="1:6" ht="13.8" x14ac:dyDescent="0.25">
      <c r="A41" s="245" t="s">
        <v>285</v>
      </c>
      <c r="B41" s="215" t="s">
        <v>193</v>
      </c>
      <c r="C41" s="221">
        <f>[2]Калькулятор!C97</f>
        <v>434.61</v>
      </c>
      <c r="D41" s="217">
        <v>100</v>
      </c>
      <c r="E41" s="217">
        <f t="shared" si="2"/>
        <v>43461</v>
      </c>
      <c r="F41" s="218"/>
    </row>
    <row r="42" spans="1:6" ht="13.8" x14ac:dyDescent="0.25">
      <c r="A42" s="214" t="s">
        <v>286</v>
      </c>
      <c r="B42" s="215" t="s">
        <v>193</v>
      </c>
      <c r="C42" s="221">
        <f>[2]Калькулятор!C98</f>
        <v>434.61</v>
      </c>
      <c r="D42" s="217">
        <v>100</v>
      </c>
      <c r="E42" s="217">
        <f t="shared" si="2"/>
        <v>43461</v>
      </c>
      <c r="F42" s="218"/>
    </row>
    <row r="43" spans="1:6" ht="13.8" x14ac:dyDescent="0.25">
      <c r="A43" s="214" t="s">
        <v>287</v>
      </c>
      <c r="B43" s="215" t="s">
        <v>193</v>
      </c>
      <c r="C43" s="221">
        <f>[2]Калькулятор!C99</f>
        <v>434.61</v>
      </c>
      <c r="D43" s="223">
        <v>40</v>
      </c>
      <c r="E43" s="217">
        <f t="shared" si="2"/>
        <v>17384.400000000001</v>
      </c>
      <c r="F43" s="218"/>
    </row>
    <row r="44" spans="1:6" ht="13.8" x14ac:dyDescent="0.25">
      <c r="A44" s="222" t="s">
        <v>288</v>
      </c>
      <c r="B44" s="215" t="s">
        <v>193</v>
      </c>
      <c r="C44" s="221">
        <f>[2]Калькулятор!C100</f>
        <v>434.61</v>
      </c>
      <c r="D44" s="223">
        <v>300</v>
      </c>
      <c r="E44" s="217">
        <f t="shared" si="2"/>
        <v>130383</v>
      </c>
      <c r="F44" s="218"/>
    </row>
    <row r="45" spans="1:6" ht="13.8" x14ac:dyDescent="0.25">
      <c r="A45" s="222" t="s">
        <v>374</v>
      </c>
      <c r="B45" s="215" t="s">
        <v>193</v>
      </c>
      <c r="C45" s="221">
        <f>[2]Калькулятор!C101</f>
        <v>434.61</v>
      </c>
      <c r="D45" s="223">
        <v>500</v>
      </c>
      <c r="E45" s="217">
        <f t="shared" si="2"/>
        <v>217305</v>
      </c>
      <c r="F45" s="218"/>
    </row>
    <row r="46" spans="1:6" ht="13.8" x14ac:dyDescent="0.25">
      <c r="A46" s="243" t="s">
        <v>290</v>
      </c>
      <c r="B46" s="215" t="s">
        <v>193</v>
      </c>
      <c r="C46" s="221">
        <f>[2]Калькулятор!C102</f>
        <v>0</v>
      </c>
      <c r="D46" s="223">
        <v>250</v>
      </c>
      <c r="E46" s="217">
        <f t="shared" si="2"/>
        <v>0</v>
      </c>
      <c r="F46" s="218"/>
    </row>
    <row r="47" spans="1:6" ht="13.8" x14ac:dyDescent="0.25">
      <c r="A47" s="243" t="s">
        <v>291</v>
      </c>
      <c r="B47" s="215" t="s">
        <v>193</v>
      </c>
      <c r="C47" s="221">
        <f>[2]Калькулятор!C103</f>
        <v>0</v>
      </c>
      <c r="D47" s="223">
        <v>450</v>
      </c>
      <c r="E47" s="217">
        <f t="shared" si="2"/>
        <v>0</v>
      </c>
      <c r="F47" s="218"/>
    </row>
    <row r="48" spans="1:6" ht="13.8" x14ac:dyDescent="0.25">
      <c r="A48" s="214" t="s">
        <v>292</v>
      </c>
      <c r="B48" s="215" t="s">
        <v>24</v>
      </c>
      <c r="C48" s="221">
        <f>[2]Калькулятор!C104</f>
        <v>0</v>
      </c>
      <c r="D48" s="223">
        <v>150</v>
      </c>
      <c r="E48" s="217">
        <f t="shared" si="2"/>
        <v>0</v>
      </c>
      <c r="F48" s="218"/>
    </row>
    <row r="49" spans="1:6" ht="13.8" x14ac:dyDescent="0.25">
      <c r="A49" s="222" t="s">
        <v>293</v>
      </c>
      <c r="B49" s="215" t="s">
        <v>24</v>
      </c>
      <c r="C49" s="221">
        <f>[2]Калькулятор!C105</f>
        <v>78.22999999999999</v>
      </c>
      <c r="D49" s="223">
        <v>150</v>
      </c>
      <c r="E49" s="217">
        <f t="shared" si="2"/>
        <v>11734.499999999998</v>
      </c>
      <c r="F49" s="218"/>
    </row>
    <row r="50" spans="1:6" ht="13.8" x14ac:dyDescent="0.25">
      <c r="A50" s="222" t="s">
        <v>294</v>
      </c>
      <c r="B50" s="215" t="s">
        <v>24</v>
      </c>
      <c r="C50" s="221">
        <f>[2]Калькулятор!C106</f>
        <v>61.63</v>
      </c>
      <c r="D50" s="223">
        <v>150</v>
      </c>
      <c r="E50" s="217">
        <f t="shared" si="2"/>
        <v>9244.5</v>
      </c>
      <c r="F50" s="218"/>
    </row>
    <row r="51" spans="1:6" ht="13.8" x14ac:dyDescent="0.25">
      <c r="A51" s="243" t="s">
        <v>295</v>
      </c>
      <c r="B51" s="215" t="s">
        <v>24</v>
      </c>
      <c r="C51" s="221">
        <f>[2]Калькулятор!C107</f>
        <v>132</v>
      </c>
      <c r="D51" s="223">
        <v>150</v>
      </c>
      <c r="E51" s="217">
        <f t="shared" si="2"/>
        <v>19800</v>
      </c>
      <c r="F51" s="218"/>
    </row>
    <row r="52" spans="1:6" ht="13.8" x14ac:dyDescent="0.25">
      <c r="A52" s="222" t="s">
        <v>296</v>
      </c>
      <c r="B52" s="215" t="s">
        <v>10</v>
      </c>
      <c r="C52" s="221">
        <f>[2]Калькулятор!C108</f>
        <v>28</v>
      </c>
      <c r="D52" s="217">
        <v>500</v>
      </c>
      <c r="E52" s="217">
        <f t="shared" si="2"/>
        <v>14000</v>
      </c>
      <c r="F52" s="218"/>
    </row>
    <row r="53" spans="1:6" ht="13.8" x14ac:dyDescent="0.25">
      <c r="A53" s="222" t="s">
        <v>297</v>
      </c>
      <c r="B53" s="215" t="s">
        <v>10</v>
      </c>
      <c r="C53" s="221">
        <f>[2]Калькулятор!C109</f>
        <v>0</v>
      </c>
      <c r="D53" s="217">
        <v>3000</v>
      </c>
      <c r="E53" s="217">
        <f t="shared" si="2"/>
        <v>0</v>
      </c>
      <c r="F53" s="218"/>
    </row>
    <row r="54" spans="1:6" ht="13.8" x14ac:dyDescent="0.25">
      <c r="A54" s="243" t="s">
        <v>298</v>
      </c>
      <c r="B54" s="215" t="s">
        <v>10</v>
      </c>
      <c r="C54" s="221">
        <f>[2]Калькулятор!C110</f>
        <v>0</v>
      </c>
      <c r="D54" s="217">
        <v>700</v>
      </c>
      <c r="E54" s="217">
        <f t="shared" si="2"/>
        <v>0</v>
      </c>
      <c r="F54" s="218"/>
    </row>
    <row r="55" spans="1:6" ht="13.8" x14ac:dyDescent="0.25">
      <c r="A55" s="243" t="s">
        <v>375</v>
      </c>
      <c r="B55" s="215" t="s">
        <v>193</v>
      </c>
      <c r="C55" s="221">
        <f>[2]Калькулятор!C111</f>
        <v>8</v>
      </c>
      <c r="D55" s="217">
        <v>125</v>
      </c>
      <c r="E55" s="217">
        <f t="shared" si="2"/>
        <v>1000</v>
      </c>
      <c r="F55" s="218"/>
    </row>
    <row r="56" spans="1:6" ht="13.8" x14ac:dyDescent="0.25">
      <c r="A56" s="243" t="s">
        <v>301</v>
      </c>
      <c r="B56" s="215" t="s">
        <v>193</v>
      </c>
      <c r="C56" s="221">
        <f>[2]Калькулятор!C112</f>
        <v>240</v>
      </c>
      <c r="D56" s="217">
        <v>100</v>
      </c>
      <c r="E56" s="217">
        <f t="shared" si="2"/>
        <v>24000</v>
      </c>
      <c r="F56" s="218"/>
    </row>
    <row r="57" spans="1:6" ht="13.8" x14ac:dyDescent="0.25">
      <c r="A57" s="243" t="s">
        <v>376</v>
      </c>
      <c r="B57" s="215" t="s">
        <v>193</v>
      </c>
      <c r="C57" s="221">
        <f>[2]Калькулятор!C113</f>
        <v>240</v>
      </c>
      <c r="D57" s="217">
        <v>50</v>
      </c>
      <c r="E57" s="217">
        <f t="shared" si="2"/>
        <v>12000</v>
      </c>
      <c r="F57" s="218"/>
    </row>
    <row r="58" spans="1:6" ht="13.8" x14ac:dyDescent="0.25">
      <c r="A58" s="243" t="s">
        <v>285</v>
      </c>
      <c r="B58" s="215" t="s">
        <v>193</v>
      </c>
      <c r="C58" s="221">
        <f>[2]Калькулятор!C114</f>
        <v>240</v>
      </c>
      <c r="D58" s="217">
        <v>50</v>
      </c>
      <c r="E58" s="217">
        <f t="shared" si="2"/>
        <v>12000</v>
      </c>
      <c r="F58" s="218"/>
    </row>
    <row r="59" spans="1:6" ht="13.8" x14ac:dyDescent="0.25">
      <c r="A59" s="243" t="s">
        <v>303</v>
      </c>
      <c r="B59" s="215" t="s">
        <v>193</v>
      </c>
      <c r="C59" s="221">
        <f>[2]Калькулятор!C115</f>
        <v>240</v>
      </c>
      <c r="D59" s="217">
        <v>50</v>
      </c>
      <c r="E59" s="217">
        <f t="shared" si="2"/>
        <v>12000</v>
      </c>
      <c r="F59" s="218"/>
    </row>
    <row r="60" spans="1:6" ht="13.8" x14ac:dyDescent="0.25">
      <c r="A60" s="243" t="s">
        <v>304</v>
      </c>
      <c r="B60" s="215" t="s">
        <v>193</v>
      </c>
      <c r="C60" s="221">
        <f>[2]Калькулятор!C116</f>
        <v>146</v>
      </c>
      <c r="D60" s="217">
        <v>50</v>
      </c>
      <c r="E60" s="217">
        <f t="shared" si="2"/>
        <v>7300</v>
      </c>
      <c r="F60" s="218"/>
    </row>
    <row r="61" spans="1:6" ht="13.8" x14ac:dyDescent="0.25">
      <c r="A61" s="243" t="s">
        <v>305</v>
      </c>
      <c r="B61" s="215" t="s">
        <v>193</v>
      </c>
      <c r="C61" s="221">
        <f>[2]Калькулятор!C117</f>
        <v>120.19999999999999</v>
      </c>
      <c r="D61" s="217">
        <v>120</v>
      </c>
      <c r="E61" s="217">
        <f t="shared" si="2"/>
        <v>14423.999999999998</v>
      </c>
      <c r="F61" s="218"/>
    </row>
    <row r="62" spans="1:6" ht="13.8" x14ac:dyDescent="0.25">
      <c r="A62" s="243" t="s">
        <v>377</v>
      </c>
      <c r="B62" s="215" t="s">
        <v>24</v>
      </c>
      <c r="C62" s="221">
        <f>[2]Калькулятор!C118</f>
        <v>62.7</v>
      </c>
      <c r="D62" s="217">
        <v>150</v>
      </c>
      <c r="E62" s="217">
        <f t="shared" si="2"/>
        <v>9405</v>
      </c>
      <c r="F62" s="218"/>
    </row>
    <row r="63" spans="1:6" ht="13.8" x14ac:dyDescent="0.25">
      <c r="A63" s="243" t="s">
        <v>307</v>
      </c>
      <c r="B63" s="215" t="s">
        <v>193</v>
      </c>
      <c r="C63" s="221">
        <f>[2]Калькулятор!C119</f>
        <v>132</v>
      </c>
      <c r="D63" s="217">
        <v>50</v>
      </c>
      <c r="E63" s="217">
        <f t="shared" si="2"/>
        <v>6600</v>
      </c>
      <c r="F63" s="218"/>
    </row>
    <row r="64" spans="1:6" ht="13.8" x14ac:dyDescent="0.25">
      <c r="A64" s="243" t="s">
        <v>308</v>
      </c>
      <c r="B64" s="215" t="s">
        <v>193</v>
      </c>
      <c r="C64" s="221">
        <f>[2]Калькулятор!C120</f>
        <v>374.4</v>
      </c>
      <c r="D64" s="217">
        <v>120</v>
      </c>
      <c r="E64" s="217">
        <f t="shared" si="2"/>
        <v>44928</v>
      </c>
      <c r="F64" s="218"/>
    </row>
    <row r="65" spans="1:6" ht="13.8" x14ac:dyDescent="0.25">
      <c r="A65" s="243" t="s">
        <v>309</v>
      </c>
      <c r="B65" s="215" t="s">
        <v>193</v>
      </c>
      <c r="C65" s="221">
        <f>[2]Калькулятор!C121</f>
        <v>224.7</v>
      </c>
      <c r="D65" s="217">
        <v>300</v>
      </c>
      <c r="E65" s="217">
        <f t="shared" si="2"/>
        <v>67410</v>
      </c>
      <c r="F65" s="218"/>
    </row>
    <row r="66" spans="1:6" ht="13.8" x14ac:dyDescent="0.25">
      <c r="A66" s="243" t="s">
        <v>310</v>
      </c>
      <c r="B66" s="215" t="s">
        <v>24</v>
      </c>
      <c r="C66" s="221">
        <f>[2]Калькулятор!C122</f>
        <v>149.76</v>
      </c>
      <c r="D66" s="217">
        <v>250</v>
      </c>
      <c r="E66" s="217">
        <f t="shared" si="2"/>
        <v>37440</v>
      </c>
      <c r="F66" s="218"/>
    </row>
    <row r="67" spans="1:6" ht="13.8" x14ac:dyDescent="0.25">
      <c r="A67" s="243" t="s">
        <v>311</v>
      </c>
      <c r="B67" s="215" t="s">
        <v>10</v>
      </c>
      <c r="C67" s="221">
        <f>[2]Калькулятор!C123</f>
        <v>132</v>
      </c>
      <c r="D67" s="217">
        <v>700</v>
      </c>
      <c r="E67" s="217">
        <f>C67*D67</f>
        <v>92400</v>
      </c>
      <c r="F67" s="218"/>
    </row>
    <row r="68" spans="1:6" ht="13.8" x14ac:dyDescent="0.25">
      <c r="A68" s="248" t="s">
        <v>334</v>
      </c>
      <c r="B68" s="232"/>
      <c r="C68" s="233"/>
      <c r="D68" s="233"/>
      <c r="E68" s="234">
        <f>SUM(E39:E67)</f>
        <v>915161.4</v>
      </c>
      <c r="F68" s="235"/>
    </row>
    <row r="69" spans="1:6" ht="13.8" x14ac:dyDescent="0.25">
      <c r="A69" s="539"/>
      <c r="B69" s="540"/>
      <c r="C69" s="540"/>
      <c r="D69" s="540"/>
      <c r="E69" s="540"/>
      <c r="F69" s="541"/>
    </row>
    <row r="70" spans="1:6" ht="13.8" x14ac:dyDescent="0.25">
      <c r="A70" s="656" t="s">
        <v>335</v>
      </c>
      <c r="B70" s="656"/>
      <c r="C70" s="656"/>
      <c r="D70" s="656"/>
      <c r="E70" s="656"/>
      <c r="F70" s="656"/>
    </row>
    <row r="71" spans="1:6" ht="13.8" x14ac:dyDescent="0.25">
      <c r="A71" s="249" t="s">
        <v>200</v>
      </c>
      <c r="B71" s="236"/>
      <c r="C71" s="237"/>
      <c r="D71" s="237"/>
      <c r="E71" s="237"/>
      <c r="F71" s="238"/>
    </row>
    <row r="72" spans="1:6" ht="27.6" x14ac:dyDescent="0.25">
      <c r="A72" s="245" t="s">
        <v>336</v>
      </c>
      <c r="B72" s="215" t="s">
        <v>10</v>
      </c>
      <c r="C72" s="217">
        <f>[2]Калькулятор!C152</f>
        <v>0</v>
      </c>
      <c r="D72" s="217">
        <v>1200</v>
      </c>
      <c r="E72" s="217">
        <f>C72*D72</f>
        <v>0</v>
      </c>
      <c r="F72" s="218"/>
    </row>
    <row r="73" spans="1:6" ht="27.6" x14ac:dyDescent="0.25">
      <c r="A73" s="245" t="s">
        <v>337</v>
      </c>
      <c r="B73" s="215" t="s">
        <v>10</v>
      </c>
      <c r="C73" s="217">
        <f>[2]Калькулятор!C153</f>
        <v>30</v>
      </c>
      <c r="D73" s="217">
        <v>1400</v>
      </c>
      <c r="E73" s="217">
        <f>C73*D73</f>
        <v>42000</v>
      </c>
      <c r="F73" s="218"/>
    </row>
    <row r="74" spans="1:6" ht="13.8" x14ac:dyDescent="0.25">
      <c r="A74" s="245" t="s">
        <v>338</v>
      </c>
      <c r="B74" s="215" t="s">
        <v>10</v>
      </c>
      <c r="C74" s="217">
        <f>[2]Калькулятор!C154</f>
        <v>0</v>
      </c>
      <c r="D74" s="217">
        <v>250</v>
      </c>
      <c r="E74" s="217">
        <f>C74*D74</f>
        <v>0</v>
      </c>
      <c r="F74" s="218"/>
    </row>
    <row r="75" spans="1:6" ht="13.8" x14ac:dyDescent="0.25">
      <c r="A75" s="243" t="s">
        <v>339</v>
      </c>
      <c r="B75" s="215" t="s">
        <v>24</v>
      </c>
      <c r="C75" s="217">
        <f>[2]Калькулятор!C155</f>
        <v>30</v>
      </c>
      <c r="D75" s="217">
        <v>100</v>
      </c>
      <c r="E75" s="217">
        <f>C75*D75</f>
        <v>3000</v>
      </c>
      <c r="F75" s="218"/>
    </row>
    <row r="76" spans="1:6" ht="13.8" x14ac:dyDescent="0.25">
      <c r="A76" s="243" t="s">
        <v>340</v>
      </c>
      <c r="B76" s="215" t="s">
        <v>10</v>
      </c>
      <c r="C76" s="217">
        <f>[2]Калькулятор!C156</f>
        <v>54</v>
      </c>
      <c r="D76" s="217">
        <v>500</v>
      </c>
      <c r="E76" s="217">
        <f>C76*D76</f>
        <v>27000</v>
      </c>
      <c r="F76" s="218"/>
    </row>
    <row r="77" spans="1:6" ht="13.8" x14ac:dyDescent="0.25">
      <c r="A77" s="248" t="s">
        <v>347</v>
      </c>
      <c r="B77" s="232"/>
      <c r="C77" s="233"/>
      <c r="D77" s="233"/>
      <c r="E77" s="234">
        <f>SUM(E72:E76)</f>
        <v>72000</v>
      </c>
      <c r="F77" s="235"/>
    </row>
    <row r="78" spans="1:6" ht="13.8" x14ac:dyDescent="0.25">
      <c r="A78" s="539"/>
      <c r="B78" s="540"/>
      <c r="C78" s="540"/>
      <c r="D78" s="540"/>
      <c r="E78" s="540"/>
      <c r="F78" s="541"/>
    </row>
    <row r="79" spans="1:6" ht="13.8" x14ac:dyDescent="0.25">
      <c r="A79" s="656" t="s">
        <v>348</v>
      </c>
      <c r="B79" s="656"/>
      <c r="C79" s="656"/>
      <c r="D79" s="656"/>
      <c r="E79" s="656"/>
      <c r="F79" s="656"/>
    </row>
    <row r="80" spans="1:6" ht="13.8" x14ac:dyDescent="0.25">
      <c r="A80" s="249" t="s">
        <v>200</v>
      </c>
      <c r="B80" s="236"/>
      <c r="C80" s="237"/>
      <c r="D80" s="237"/>
      <c r="E80" s="237"/>
      <c r="F80" s="238"/>
    </row>
    <row r="81" spans="1:6" ht="13.8" x14ac:dyDescent="0.25">
      <c r="A81" s="245" t="s">
        <v>349</v>
      </c>
      <c r="B81" s="215" t="s">
        <v>24</v>
      </c>
      <c r="C81" s="221">
        <f>[2]Калькулятор!C170</f>
        <v>0</v>
      </c>
      <c r="D81" s="217">
        <v>150</v>
      </c>
      <c r="E81" s="217">
        <f t="shared" ref="E81:E92" si="3">C81*D81</f>
        <v>0</v>
      </c>
      <c r="F81" s="218"/>
    </row>
    <row r="82" spans="1:6" ht="13.8" x14ac:dyDescent="0.25">
      <c r="A82" s="245" t="s">
        <v>350</v>
      </c>
      <c r="B82" s="215" t="s">
        <v>24</v>
      </c>
      <c r="C82" s="221">
        <f>[2]Калькулятор!C171</f>
        <v>0</v>
      </c>
      <c r="D82" s="217">
        <v>50</v>
      </c>
      <c r="E82" s="217">
        <f t="shared" si="3"/>
        <v>0</v>
      </c>
      <c r="F82" s="218"/>
    </row>
    <row r="83" spans="1:6" ht="13.8" x14ac:dyDescent="0.25">
      <c r="A83" s="245" t="s">
        <v>351</v>
      </c>
      <c r="B83" s="215" t="s">
        <v>24</v>
      </c>
      <c r="C83" s="221">
        <f>[2]Калькулятор!C172</f>
        <v>0</v>
      </c>
      <c r="D83" s="217">
        <v>50</v>
      </c>
      <c r="E83" s="217">
        <f t="shared" si="3"/>
        <v>0</v>
      </c>
      <c r="F83" s="218"/>
    </row>
    <row r="84" spans="1:6" ht="13.8" x14ac:dyDescent="0.25">
      <c r="A84" s="245" t="s">
        <v>352</v>
      </c>
      <c r="B84" s="215" t="s">
        <v>24</v>
      </c>
      <c r="C84" s="221">
        <f>[2]Калькулятор!C173</f>
        <v>0</v>
      </c>
      <c r="D84" s="217">
        <v>30</v>
      </c>
      <c r="E84" s="217">
        <f t="shared" si="3"/>
        <v>0</v>
      </c>
      <c r="F84" s="218"/>
    </row>
    <row r="85" spans="1:6" ht="13.8" x14ac:dyDescent="0.25">
      <c r="A85" s="245" t="s">
        <v>353</v>
      </c>
      <c r="B85" s="215" t="s">
        <v>24</v>
      </c>
      <c r="C85" s="221">
        <f>[2]Калькулятор!C174</f>
        <v>0</v>
      </c>
      <c r="D85" s="217">
        <v>50</v>
      </c>
      <c r="E85" s="217">
        <f t="shared" si="3"/>
        <v>0</v>
      </c>
      <c r="F85" s="218"/>
    </row>
    <row r="86" spans="1:6" ht="13.8" x14ac:dyDescent="0.25">
      <c r="A86" s="245" t="s">
        <v>354</v>
      </c>
      <c r="B86" s="215" t="s">
        <v>193</v>
      </c>
      <c r="C86" s="221">
        <f>[2]Калькулятор!C175</f>
        <v>0</v>
      </c>
      <c r="D86" s="217">
        <v>200</v>
      </c>
      <c r="E86" s="217">
        <f t="shared" si="3"/>
        <v>0</v>
      </c>
      <c r="F86" s="218"/>
    </row>
    <row r="87" spans="1:6" ht="13.8" x14ac:dyDescent="0.25">
      <c r="A87" s="245" t="s">
        <v>355</v>
      </c>
      <c r="B87" s="215" t="s">
        <v>193</v>
      </c>
      <c r="C87" s="221">
        <f>[2]Калькулятор!C176</f>
        <v>0</v>
      </c>
      <c r="D87" s="217">
        <v>40</v>
      </c>
      <c r="E87" s="217">
        <f t="shared" si="3"/>
        <v>0</v>
      </c>
      <c r="F87" s="218"/>
    </row>
    <row r="88" spans="1:6" ht="13.8" x14ac:dyDescent="0.25">
      <c r="A88" s="245" t="s">
        <v>356</v>
      </c>
      <c r="B88" s="215" t="s">
        <v>193</v>
      </c>
      <c r="C88" s="221">
        <f>[2]Калькулятор!C177</f>
        <v>0</v>
      </c>
      <c r="D88" s="217">
        <v>70</v>
      </c>
      <c r="E88" s="217">
        <f t="shared" si="3"/>
        <v>0</v>
      </c>
      <c r="F88" s="218"/>
    </row>
    <row r="89" spans="1:6" ht="13.8" x14ac:dyDescent="0.25">
      <c r="A89" s="245" t="s">
        <v>352</v>
      </c>
      <c r="B89" s="215" t="s">
        <v>193</v>
      </c>
      <c r="C89" s="221">
        <f>[2]Калькулятор!C178</f>
        <v>0</v>
      </c>
      <c r="D89" s="217">
        <v>40</v>
      </c>
      <c r="E89" s="217">
        <f t="shared" si="3"/>
        <v>0</v>
      </c>
      <c r="F89" s="218"/>
    </row>
    <row r="90" spans="1:6" ht="13.8" x14ac:dyDescent="0.25">
      <c r="A90" s="243" t="s">
        <v>357</v>
      </c>
      <c r="B90" s="215" t="s">
        <v>193</v>
      </c>
      <c r="C90" s="221">
        <f>[2]Калькулятор!C179</f>
        <v>0</v>
      </c>
      <c r="D90" s="217">
        <v>70</v>
      </c>
      <c r="E90" s="217">
        <f t="shared" si="3"/>
        <v>0</v>
      </c>
      <c r="F90" s="218"/>
    </row>
    <row r="91" spans="1:6" ht="27.6" x14ac:dyDescent="0.25">
      <c r="A91" s="245" t="s">
        <v>358</v>
      </c>
      <c r="B91" s="215" t="s">
        <v>10</v>
      </c>
      <c r="C91" s="221">
        <f>[2]Калькулятор!C180</f>
        <v>0</v>
      </c>
      <c r="D91" s="217">
        <v>800</v>
      </c>
      <c r="E91" s="217">
        <f t="shared" si="3"/>
        <v>0</v>
      </c>
      <c r="F91" s="218"/>
    </row>
    <row r="92" spans="1:6" ht="13.8" x14ac:dyDescent="0.25">
      <c r="A92" s="245" t="s">
        <v>359</v>
      </c>
      <c r="B92" s="215" t="s">
        <v>10</v>
      </c>
      <c r="C92" s="221">
        <f>[2]Калькулятор!C181</f>
        <v>0</v>
      </c>
      <c r="D92" s="217">
        <v>1000</v>
      </c>
      <c r="E92" s="217">
        <f t="shared" si="3"/>
        <v>0</v>
      </c>
      <c r="F92" s="218"/>
    </row>
    <row r="93" spans="1:6" ht="13.8" x14ac:dyDescent="0.25">
      <c r="A93" s="248" t="s">
        <v>365</v>
      </c>
      <c r="B93" s="232"/>
      <c r="C93" s="233"/>
      <c r="D93" s="233"/>
      <c r="E93" s="234">
        <f>SUM(E81:E92)</f>
        <v>0</v>
      </c>
      <c r="F93" s="235"/>
    </row>
    <row r="94" spans="1:6" ht="13.8" x14ac:dyDescent="0.25">
      <c r="A94" s="539" t="s">
        <v>366</v>
      </c>
      <c r="B94" s="540"/>
      <c r="C94" s="540"/>
      <c r="D94" s="540"/>
      <c r="E94" s="540"/>
      <c r="F94" s="541"/>
    </row>
    <row r="95" spans="1:6" ht="13.8" x14ac:dyDescent="0.25">
      <c r="A95" s="248" t="s">
        <v>378</v>
      </c>
      <c r="B95" s="232"/>
      <c r="C95" s="233"/>
      <c r="D95" s="233"/>
      <c r="E95" s="234" t="e">
        <f>E21+E35+E68+E77+E93</f>
        <v>#REF!</v>
      </c>
      <c r="F95" s="235"/>
    </row>
  </sheetData>
  <mergeCells count="15">
    <mergeCell ref="A37:F37"/>
    <mergeCell ref="A78:F78"/>
    <mergeCell ref="A79:F79"/>
    <mergeCell ref="A94:F94"/>
    <mergeCell ref="A69:F69"/>
    <mergeCell ref="A70:F70"/>
    <mergeCell ref="B1:B2"/>
    <mergeCell ref="A1:A2"/>
    <mergeCell ref="A36:F36"/>
    <mergeCell ref="A22:F22"/>
    <mergeCell ref="A23:F23"/>
    <mergeCell ref="C1:C2"/>
    <mergeCell ref="D1:E1"/>
    <mergeCell ref="F1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V2633"/>
  <sheetViews>
    <sheetView zoomScaleNormal="100" workbookViewId="0">
      <selection activeCell="L55" sqref="L55"/>
    </sheetView>
  </sheetViews>
  <sheetFormatPr defaultRowHeight="15" x14ac:dyDescent="0.25"/>
  <cols>
    <col min="1" max="1" width="1.44140625" style="12" customWidth="1"/>
    <col min="2" max="2" width="4" style="1" customWidth="1"/>
    <col min="3" max="3" width="29.109375" style="1" customWidth="1"/>
    <col min="4" max="4" width="25.44140625" style="3" customWidth="1"/>
    <col min="5" max="5" width="9.44140625" style="5" customWidth="1"/>
    <col min="6" max="6" width="7.44140625" style="5" customWidth="1"/>
    <col min="7" max="7" width="14" style="1" customWidth="1"/>
    <col min="8" max="8" width="1.44140625" style="12" customWidth="1"/>
    <col min="9" max="9" width="9.109375" style="12" customWidth="1"/>
    <col min="10" max="10" width="10.88671875" style="12" customWidth="1"/>
    <col min="11" max="12" width="9.109375" style="12" customWidth="1"/>
    <col min="13" max="13" width="11.6640625" style="12" customWidth="1"/>
    <col min="14" max="18" width="9.109375" style="12" customWidth="1"/>
    <col min="19" max="19" width="11.109375" style="12" customWidth="1"/>
    <col min="20" max="20" width="7.6640625" style="12" customWidth="1"/>
    <col min="21" max="21" width="5" style="12" customWidth="1"/>
    <col min="22" max="37" width="9.109375" style="12" customWidth="1"/>
    <col min="38" max="256" width="9.109375" style="1" customWidth="1"/>
  </cols>
  <sheetData>
    <row r="1" spans="1:37" ht="7.5" customHeight="1" thickBot="1" x14ac:dyDescent="0.3">
      <c r="B1" s="12"/>
      <c r="C1" s="17"/>
      <c r="D1" s="18"/>
      <c r="E1" s="19"/>
      <c r="F1" s="19"/>
      <c r="G1" s="12"/>
    </row>
    <row r="2" spans="1:37" ht="19.5" customHeight="1" thickBot="1" x14ac:dyDescent="0.3">
      <c r="B2" s="696" t="e">
        <f>#REF!</f>
        <v>#REF!</v>
      </c>
      <c r="C2" s="697"/>
      <c r="D2" s="697"/>
      <c r="E2" s="697"/>
      <c r="F2" s="697"/>
      <c r="G2" s="698"/>
      <c r="H2" s="16"/>
    </row>
    <row r="3" spans="1:37" ht="21" customHeight="1" x14ac:dyDescent="0.25">
      <c r="B3" s="706" t="s">
        <v>180</v>
      </c>
      <c r="C3" s="706"/>
      <c r="D3" s="706"/>
      <c r="E3" s="706"/>
      <c r="F3" s="706"/>
      <c r="G3" s="706"/>
      <c r="H3" s="16"/>
    </row>
    <row r="4" spans="1:37" s="2" customFormat="1" ht="18" thickBot="1" x14ac:dyDescent="0.3">
      <c r="A4" s="65"/>
      <c r="B4" s="713" t="s">
        <v>14</v>
      </c>
      <c r="C4" s="713"/>
      <c r="D4" s="713"/>
      <c r="E4" s="713"/>
      <c r="F4" s="713"/>
      <c r="G4" s="713"/>
      <c r="H4" s="73"/>
      <c r="I4" s="64"/>
      <c r="J4" s="64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s="4" customFormat="1" ht="36" customHeight="1" thickBot="1" x14ac:dyDescent="0.3">
      <c r="A5" s="75"/>
      <c r="B5" s="26" t="s">
        <v>1</v>
      </c>
      <c r="C5" s="27" t="s">
        <v>0</v>
      </c>
      <c r="D5" s="27" t="s">
        <v>4</v>
      </c>
      <c r="E5" s="28" t="s">
        <v>19</v>
      </c>
      <c r="F5" s="28" t="s">
        <v>22</v>
      </c>
      <c r="G5" s="29" t="s">
        <v>2</v>
      </c>
      <c r="H5" s="71"/>
      <c r="I5" s="77"/>
      <c r="J5" s="69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21" hidden="1" customHeight="1" thickBot="1" x14ac:dyDescent="0.3">
      <c r="A6" s="58"/>
      <c r="B6" s="703" t="s">
        <v>3</v>
      </c>
      <c r="C6" s="704"/>
      <c r="D6" s="704"/>
      <c r="E6" s="704"/>
      <c r="F6" s="704"/>
      <c r="G6" s="705"/>
      <c r="H6" s="66"/>
      <c r="I6" s="70"/>
      <c r="J6" s="60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21" hidden="1" customHeight="1" x14ac:dyDescent="0.25">
      <c r="A7" s="58"/>
      <c r="B7" s="727">
        <v>1</v>
      </c>
      <c r="C7" s="181" t="s">
        <v>128</v>
      </c>
      <c r="D7" s="669" t="s">
        <v>16</v>
      </c>
      <c r="E7" s="41">
        <v>0</v>
      </c>
      <c r="F7" s="41" t="s">
        <v>23</v>
      </c>
      <c r="G7" s="14"/>
      <c r="H7" s="67"/>
      <c r="I7" s="714" t="s">
        <v>137</v>
      </c>
      <c r="J7" s="715"/>
      <c r="K7" s="715"/>
      <c r="L7" s="716"/>
      <c r="M7" s="8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</row>
    <row r="8" spans="1:37" ht="21" hidden="1" customHeight="1" x14ac:dyDescent="0.25">
      <c r="A8" s="58"/>
      <c r="B8" s="672"/>
      <c r="C8" s="137" t="s">
        <v>129</v>
      </c>
      <c r="D8" s="670"/>
      <c r="E8" s="6">
        <v>0</v>
      </c>
      <c r="F8" s="6" t="s">
        <v>23</v>
      </c>
      <c r="G8" s="23"/>
      <c r="H8" s="67"/>
      <c r="I8" s="717"/>
      <c r="J8" s="718"/>
      <c r="K8" s="718"/>
      <c r="L8" s="719"/>
      <c r="M8" s="8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</row>
    <row r="9" spans="1:37" ht="21" hidden="1" customHeight="1" x14ac:dyDescent="0.25">
      <c r="A9" s="58"/>
      <c r="B9" s="672"/>
      <c r="C9" s="137" t="s">
        <v>130</v>
      </c>
      <c r="D9" s="668"/>
      <c r="E9" s="6">
        <v>0</v>
      </c>
      <c r="F9" s="6" t="s">
        <v>23</v>
      </c>
      <c r="G9" s="23"/>
      <c r="H9" s="67"/>
      <c r="I9" s="717"/>
      <c r="J9" s="718"/>
      <c r="K9" s="718"/>
      <c r="L9" s="719"/>
      <c r="M9" s="8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ht="21" hidden="1" customHeight="1" x14ac:dyDescent="0.25">
      <c r="A10" s="58"/>
      <c r="B10" s="672"/>
      <c r="C10" s="182" t="s">
        <v>131</v>
      </c>
      <c r="D10" s="667" t="s">
        <v>138</v>
      </c>
      <c r="E10" s="6">
        <v>0</v>
      </c>
      <c r="F10" s="6" t="s">
        <v>23</v>
      </c>
      <c r="G10" s="23"/>
      <c r="H10" s="67"/>
      <c r="I10" s="717"/>
      <c r="J10" s="718"/>
      <c r="K10" s="718"/>
      <c r="L10" s="719"/>
      <c r="M10" s="80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21" hidden="1" customHeight="1" x14ac:dyDescent="0.25">
      <c r="A11" s="58"/>
      <c r="B11" s="672"/>
      <c r="C11" s="182" t="s">
        <v>132</v>
      </c>
      <c r="D11" s="670"/>
      <c r="E11" s="108">
        <f>E10</f>
        <v>0</v>
      </c>
      <c r="F11" s="6" t="s">
        <v>23</v>
      </c>
      <c r="G11" s="23"/>
      <c r="H11" s="67"/>
      <c r="I11" s="717"/>
      <c r="J11" s="718"/>
      <c r="K11" s="718"/>
      <c r="L11" s="719"/>
      <c r="M11" s="8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ht="21" hidden="1" customHeight="1" thickBot="1" x14ac:dyDescent="0.3">
      <c r="A12" s="58"/>
      <c r="B12" s="673"/>
      <c r="C12" s="182" t="s">
        <v>133</v>
      </c>
      <c r="D12" s="668"/>
      <c r="E12" s="108">
        <f>E10</f>
        <v>0</v>
      </c>
      <c r="F12" s="6" t="s">
        <v>23</v>
      </c>
      <c r="G12" s="23"/>
      <c r="H12" s="67"/>
      <c r="I12" s="720"/>
      <c r="J12" s="721"/>
      <c r="K12" s="721"/>
      <c r="L12" s="722"/>
      <c r="M12" s="8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ht="21" hidden="1" customHeight="1" x14ac:dyDescent="0.25">
      <c r="A13" s="58"/>
      <c r="B13" s="42">
        <v>2</v>
      </c>
      <c r="C13" s="173" t="s">
        <v>134</v>
      </c>
      <c r="D13" s="169"/>
      <c r="E13" s="20">
        <v>0</v>
      </c>
      <c r="F13" s="46" t="s">
        <v>10</v>
      </c>
      <c r="G13" s="25"/>
      <c r="H13" s="67"/>
      <c r="I13" s="170"/>
      <c r="J13" s="170"/>
      <c r="K13" s="170"/>
      <c r="L13" s="170"/>
      <c r="M13" s="8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ht="21" hidden="1" customHeight="1" thickBot="1" x14ac:dyDescent="0.3">
      <c r="A14" s="58"/>
      <c r="B14" s="174">
        <v>3</v>
      </c>
      <c r="C14" s="173" t="s">
        <v>139</v>
      </c>
      <c r="D14" s="167"/>
      <c r="E14" s="20">
        <v>0</v>
      </c>
      <c r="F14" s="46" t="s">
        <v>10</v>
      </c>
      <c r="G14" s="25"/>
      <c r="H14" s="67"/>
      <c r="I14" s="170"/>
      <c r="J14" s="170"/>
      <c r="K14" s="170"/>
      <c r="L14" s="170"/>
      <c r="M14" s="8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1:37" ht="21" hidden="1" customHeight="1" thickBot="1" x14ac:dyDescent="0.3">
      <c r="A15" s="58"/>
      <c r="B15" s="43">
        <v>4</v>
      </c>
      <c r="C15" s="106" t="s">
        <v>58</v>
      </c>
      <c r="D15" s="106"/>
      <c r="E15" s="122">
        <v>0</v>
      </c>
      <c r="F15" s="44" t="s">
        <v>10</v>
      </c>
      <c r="G15" s="24"/>
      <c r="H15" s="67"/>
      <c r="I15" s="710" t="s">
        <v>63</v>
      </c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2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ht="21" hidden="1" customHeight="1" thickBot="1" x14ac:dyDescent="0.3">
      <c r="A16" s="58"/>
      <c r="B16" s="724" t="s">
        <v>8</v>
      </c>
      <c r="C16" s="725"/>
      <c r="D16" s="725"/>
      <c r="E16" s="725"/>
      <c r="F16" s="725"/>
      <c r="G16" s="726"/>
      <c r="H16" s="66"/>
      <c r="I16" s="78"/>
      <c r="J16" s="60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  <row r="17" spans="1:37" ht="21" hidden="1" customHeight="1" x14ac:dyDescent="0.25">
      <c r="A17" s="58"/>
      <c r="B17" s="40">
        <v>1</v>
      </c>
      <c r="C17" s="79" t="s">
        <v>37</v>
      </c>
      <c r="D17" s="107" t="s">
        <v>152</v>
      </c>
      <c r="E17" s="41">
        <v>0</v>
      </c>
      <c r="F17" s="41" t="s">
        <v>23</v>
      </c>
      <c r="G17" s="34"/>
      <c r="H17" s="60"/>
      <c r="I17" s="78"/>
      <c r="J17" s="60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21" hidden="1" customHeight="1" x14ac:dyDescent="0.25">
      <c r="A18" s="58"/>
      <c r="B18" s="42">
        <v>2</v>
      </c>
      <c r="C18" s="184" t="s">
        <v>153</v>
      </c>
      <c r="D18" s="169" t="s">
        <v>32</v>
      </c>
      <c r="E18" s="6">
        <v>0</v>
      </c>
      <c r="F18" s="6" t="s">
        <v>23</v>
      </c>
      <c r="G18" s="32"/>
      <c r="H18" s="60"/>
      <c r="I18" s="78"/>
      <c r="J18" s="6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</row>
    <row r="19" spans="1:37" ht="21" hidden="1" customHeight="1" x14ac:dyDescent="0.25">
      <c r="A19" s="58"/>
      <c r="B19" s="42">
        <v>3</v>
      </c>
      <c r="C19" s="184" t="s">
        <v>146</v>
      </c>
      <c r="D19" s="169" t="s">
        <v>145</v>
      </c>
      <c r="E19" s="6">
        <v>0</v>
      </c>
      <c r="F19" s="6" t="s">
        <v>23</v>
      </c>
      <c r="G19" s="32"/>
      <c r="H19" s="60"/>
      <c r="I19" s="78"/>
      <c r="J19" s="60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ht="21" hidden="1" customHeight="1" x14ac:dyDescent="0.25">
      <c r="A20" s="58"/>
      <c r="B20" s="42">
        <v>4</v>
      </c>
      <c r="C20" s="184" t="s">
        <v>135</v>
      </c>
      <c r="D20" s="169" t="s">
        <v>11</v>
      </c>
      <c r="E20" s="6">
        <v>0</v>
      </c>
      <c r="F20" s="6" t="s">
        <v>23</v>
      </c>
      <c r="G20" s="32"/>
      <c r="H20" s="60"/>
      <c r="I20" s="78"/>
      <c r="J20" s="6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21" hidden="1" customHeight="1" thickBot="1" x14ac:dyDescent="0.3">
      <c r="A21" s="58"/>
      <c r="B21" s="96">
        <v>5</v>
      </c>
      <c r="C21" s="53" t="s">
        <v>29</v>
      </c>
      <c r="D21" s="168" t="s">
        <v>101</v>
      </c>
      <c r="E21" s="44">
        <v>0</v>
      </c>
      <c r="F21" s="44" t="s">
        <v>23</v>
      </c>
      <c r="G21" s="185"/>
      <c r="H21" s="60"/>
      <c r="I21" s="78"/>
      <c r="J21" s="60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</row>
    <row r="22" spans="1:37" ht="21" hidden="1" customHeight="1" thickBot="1" x14ac:dyDescent="0.3">
      <c r="A22" s="58"/>
      <c r="B22" s="703" t="s">
        <v>5</v>
      </c>
      <c r="C22" s="704"/>
      <c r="D22" s="704"/>
      <c r="E22" s="704"/>
      <c r="F22" s="704"/>
      <c r="G22" s="705"/>
      <c r="H22" s="66"/>
      <c r="I22" s="78"/>
      <c r="J22" s="60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21" hidden="1" customHeight="1" x14ac:dyDescent="0.25">
      <c r="A23" s="58"/>
      <c r="B23" s="40">
        <v>1</v>
      </c>
      <c r="C23" s="85" t="s">
        <v>163</v>
      </c>
      <c r="D23" s="107" t="s">
        <v>164</v>
      </c>
      <c r="E23" s="41">
        <v>0</v>
      </c>
      <c r="F23" s="41" t="s">
        <v>23</v>
      </c>
      <c r="G23" s="34"/>
      <c r="H23" s="60"/>
      <c r="I23" s="78"/>
      <c r="J23" s="60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24.75" hidden="1" customHeight="1" x14ac:dyDescent="0.25">
      <c r="A24" s="58"/>
      <c r="B24" s="671">
        <v>2</v>
      </c>
      <c r="C24" s="707" t="s">
        <v>30</v>
      </c>
      <c r="D24" s="166" t="s">
        <v>98</v>
      </c>
      <c r="E24" s="6">
        <v>0</v>
      </c>
      <c r="F24" s="6" t="s">
        <v>23</v>
      </c>
      <c r="G24" s="138" t="s">
        <v>99</v>
      </c>
      <c r="H24" s="60"/>
      <c r="I24" s="78"/>
      <c r="J24" s="60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21" hidden="1" customHeight="1" x14ac:dyDescent="0.25">
      <c r="A25" s="58"/>
      <c r="B25" s="672"/>
      <c r="C25" s="708"/>
      <c r="D25" s="166" t="s">
        <v>112</v>
      </c>
      <c r="E25" s="6">
        <v>0</v>
      </c>
      <c r="F25" s="6" t="s">
        <v>23</v>
      </c>
      <c r="G25" s="138"/>
      <c r="H25" s="60"/>
      <c r="I25" s="78"/>
      <c r="J25" s="6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21" hidden="1" customHeight="1" thickBot="1" x14ac:dyDescent="0.3">
      <c r="A26" s="58"/>
      <c r="B26" s="672"/>
      <c r="C26" s="708"/>
      <c r="D26" s="166" t="s">
        <v>107</v>
      </c>
      <c r="E26" s="6">
        <v>0</v>
      </c>
      <c r="F26" s="6" t="s">
        <v>23</v>
      </c>
      <c r="G26" s="138"/>
      <c r="H26" s="60"/>
      <c r="I26" s="78"/>
      <c r="J26" s="60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21" hidden="1" customHeight="1" thickBot="1" x14ac:dyDescent="0.3">
      <c r="A27" s="58"/>
      <c r="B27" s="672"/>
      <c r="C27" s="708"/>
      <c r="D27" s="166" t="s">
        <v>93</v>
      </c>
      <c r="E27" s="98">
        <f>P27+(1.6*T27)</f>
        <v>0</v>
      </c>
      <c r="F27" s="45" t="s">
        <v>23</v>
      </c>
      <c r="G27" s="105"/>
      <c r="H27" s="60"/>
      <c r="I27" s="123" t="s">
        <v>136</v>
      </c>
      <c r="J27" s="124"/>
      <c r="K27" s="126"/>
      <c r="L27" s="140"/>
      <c r="M27" s="141"/>
      <c r="N27" s="141"/>
      <c r="O27" s="141"/>
      <c r="P27" s="142">
        <v>0</v>
      </c>
      <c r="Q27" s="143" t="s">
        <v>23</v>
      </c>
      <c r="R27" s="123" t="s">
        <v>56</v>
      </c>
      <c r="S27" s="124"/>
      <c r="T27" s="126">
        <v>0</v>
      </c>
      <c r="U27" s="125" t="s">
        <v>24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21" hidden="1" customHeight="1" thickBot="1" x14ac:dyDescent="0.3">
      <c r="B28" s="673"/>
      <c r="C28" s="723"/>
      <c r="D28" s="166" t="s">
        <v>94</v>
      </c>
      <c r="E28" s="108">
        <f>P28+(1.6*T28)</f>
        <v>0</v>
      </c>
      <c r="F28" s="46" t="s">
        <v>23</v>
      </c>
      <c r="G28" s="37"/>
      <c r="H28" s="60"/>
      <c r="I28" s="123" t="s">
        <v>95</v>
      </c>
      <c r="J28" s="124"/>
      <c r="K28" s="126"/>
      <c r="L28" s="140"/>
      <c r="M28" s="141"/>
      <c r="N28" s="141"/>
      <c r="O28" s="141"/>
      <c r="P28" s="142">
        <v>0</v>
      </c>
      <c r="Q28" s="143" t="s">
        <v>23</v>
      </c>
      <c r="R28" s="139" t="s">
        <v>56</v>
      </c>
      <c r="S28" s="124"/>
      <c r="T28" s="126">
        <v>0</v>
      </c>
      <c r="U28" s="125" t="s">
        <v>24</v>
      </c>
    </row>
    <row r="29" spans="1:37" ht="21" hidden="1" customHeight="1" thickBot="1" x14ac:dyDescent="0.3">
      <c r="B29" s="671">
        <v>3</v>
      </c>
      <c r="C29" s="707" t="s">
        <v>28</v>
      </c>
      <c r="D29" s="169" t="s">
        <v>20</v>
      </c>
      <c r="E29" s="6">
        <v>0</v>
      </c>
      <c r="F29" s="6" t="s">
        <v>23</v>
      </c>
      <c r="G29" s="87"/>
      <c r="H29" s="60"/>
      <c r="I29" s="78"/>
      <c r="J29" s="6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37" ht="21" hidden="1" customHeight="1" thickBot="1" x14ac:dyDescent="0.3">
      <c r="B30" s="672"/>
      <c r="C30" s="708"/>
      <c r="D30" s="169" t="s">
        <v>20</v>
      </c>
      <c r="E30" s="6">
        <v>0</v>
      </c>
      <c r="F30" s="39" t="s">
        <v>23</v>
      </c>
      <c r="G30" s="87"/>
      <c r="H30" s="60"/>
      <c r="I30" s="699" t="s">
        <v>31</v>
      </c>
      <c r="J30" s="700"/>
      <c r="K30" s="701"/>
      <c r="L30" s="115"/>
      <c r="M30" s="75"/>
      <c r="N30" s="58"/>
      <c r="O30" s="58"/>
      <c r="P30" s="58"/>
      <c r="Q30" s="58"/>
      <c r="R30" s="58"/>
      <c r="S30" s="58"/>
      <c r="T30" s="58"/>
      <c r="U30" s="58"/>
    </row>
    <row r="31" spans="1:37" ht="21" hidden="1" customHeight="1" x14ac:dyDescent="0.25">
      <c r="A31" s="58"/>
      <c r="B31" s="672"/>
      <c r="C31" s="708"/>
      <c r="D31" s="169" t="s">
        <v>113</v>
      </c>
      <c r="E31" s="6">
        <v>0</v>
      </c>
      <c r="F31" s="39" t="s">
        <v>23</v>
      </c>
      <c r="G31" s="87"/>
      <c r="H31" s="60"/>
      <c r="I31" s="170"/>
      <c r="J31" s="170"/>
      <c r="K31" s="170"/>
      <c r="L31" s="115"/>
      <c r="M31" s="7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21" hidden="1" customHeight="1" thickBot="1" x14ac:dyDescent="0.3">
      <c r="A32" s="58"/>
      <c r="B32" s="672"/>
      <c r="C32" s="708"/>
      <c r="D32" s="169" t="s">
        <v>108</v>
      </c>
      <c r="E32" s="6">
        <v>0</v>
      </c>
      <c r="F32" s="39" t="s">
        <v>23</v>
      </c>
      <c r="G32" s="87"/>
      <c r="H32" s="60"/>
      <c r="I32" s="170"/>
      <c r="J32" s="170"/>
      <c r="K32" s="170"/>
      <c r="L32" s="115"/>
      <c r="M32" s="7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74" ht="21" hidden="1" customHeight="1" thickBot="1" x14ac:dyDescent="0.3">
      <c r="A33" s="58"/>
      <c r="B33" s="672"/>
      <c r="C33" s="708"/>
      <c r="D33" s="169" t="s">
        <v>114</v>
      </c>
      <c r="E33" s="6">
        <v>0</v>
      </c>
      <c r="F33" s="39" t="s">
        <v>23</v>
      </c>
      <c r="G33" s="87"/>
      <c r="H33" s="60"/>
      <c r="I33" s="699" t="s">
        <v>31</v>
      </c>
      <c r="J33" s="700"/>
      <c r="K33" s="701"/>
      <c r="L33" s="115"/>
      <c r="M33" s="7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</row>
    <row r="34" spans="1:74" ht="21" hidden="1" customHeight="1" thickBot="1" x14ac:dyDescent="0.3">
      <c r="B34" s="672"/>
      <c r="C34" s="708"/>
      <c r="D34" s="169" t="s">
        <v>109</v>
      </c>
      <c r="E34" s="39">
        <v>0</v>
      </c>
      <c r="F34" s="6" t="s">
        <v>23</v>
      </c>
      <c r="G34" s="87"/>
      <c r="H34" s="60"/>
      <c r="I34" s="699" t="s">
        <v>31</v>
      </c>
      <c r="J34" s="700"/>
      <c r="K34" s="701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74" ht="21" hidden="1" customHeight="1" thickBot="1" x14ac:dyDescent="0.3">
      <c r="B35" s="702"/>
      <c r="C35" s="709"/>
      <c r="D35" s="168" t="s">
        <v>11</v>
      </c>
      <c r="E35" s="44">
        <v>0</v>
      </c>
      <c r="F35" s="183" t="s">
        <v>23</v>
      </c>
      <c r="G35" s="86"/>
      <c r="H35" s="68"/>
      <c r="I35" s="78"/>
      <c r="J35" s="64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74" ht="21" customHeight="1" thickBot="1" x14ac:dyDescent="0.3">
      <c r="B36" s="703" t="s">
        <v>6</v>
      </c>
      <c r="C36" s="704"/>
      <c r="D36" s="704"/>
      <c r="E36" s="704"/>
      <c r="F36" s="704"/>
      <c r="G36" s="705"/>
      <c r="H36" s="66"/>
      <c r="I36" s="78"/>
      <c r="J36" s="60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74" ht="21" hidden="1" customHeight="1" thickBot="1" x14ac:dyDescent="0.3">
      <c r="B37" s="191">
        <v>1</v>
      </c>
      <c r="C37" s="190" t="s">
        <v>7</v>
      </c>
      <c r="D37" s="146" t="s">
        <v>96</v>
      </c>
      <c r="E37" s="10">
        <v>0</v>
      </c>
      <c r="F37" s="9" t="s">
        <v>24</v>
      </c>
      <c r="G37" s="34"/>
      <c r="H37" s="1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74" ht="21" customHeight="1" thickBot="1" x14ac:dyDescent="0.3">
      <c r="B38" s="672">
        <v>1</v>
      </c>
      <c r="C38" s="693" t="s">
        <v>165</v>
      </c>
      <c r="D38" s="169" t="s">
        <v>166</v>
      </c>
      <c r="E38" s="8">
        <v>942</v>
      </c>
      <c r="F38" s="6" t="s">
        <v>24</v>
      </c>
      <c r="G38" s="32"/>
      <c r="H38" s="60"/>
      <c r="I38" s="687" t="s">
        <v>167</v>
      </c>
      <c r="J38" s="688"/>
      <c r="K38" s="688"/>
      <c r="L38" s="688"/>
      <c r="M38" s="688"/>
      <c r="N38" s="689"/>
      <c r="O38" s="58"/>
      <c r="P38" s="58"/>
      <c r="Q38" s="58"/>
      <c r="R38" s="58"/>
      <c r="S38" s="58"/>
      <c r="T38" s="58"/>
      <c r="U38" s="58"/>
    </row>
    <row r="39" spans="1:74" ht="21.75" customHeight="1" thickBot="1" x14ac:dyDescent="0.3">
      <c r="B39" s="672"/>
      <c r="C39" s="693"/>
      <c r="D39" s="166" t="s">
        <v>168</v>
      </c>
      <c r="E39" s="147">
        <v>160</v>
      </c>
      <c r="F39" s="39" t="s">
        <v>24</v>
      </c>
      <c r="G39" s="35"/>
      <c r="H39" s="60"/>
      <c r="I39" s="78"/>
      <c r="J39" s="60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74" ht="21" customHeight="1" thickBot="1" x14ac:dyDescent="0.3">
      <c r="B40" s="673"/>
      <c r="C40" s="694"/>
      <c r="D40" s="166" t="s">
        <v>169</v>
      </c>
      <c r="E40" s="101">
        <v>80</v>
      </c>
      <c r="F40" s="39" t="s">
        <v>24</v>
      </c>
      <c r="G40" s="35"/>
      <c r="H40" s="60"/>
      <c r="I40" s="684" t="s">
        <v>38</v>
      </c>
      <c r="J40" s="685"/>
      <c r="K40" s="685"/>
      <c r="L40" s="686"/>
      <c r="M40" s="58"/>
      <c r="N40" s="58"/>
      <c r="O40" s="58"/>
      <c r="P40" s="58"/>
      <c r="Q40" s="58"/>
      <c r="R40" s="58"/>
      <c r="S40" s="58"/>
      <c r="T40" s="58"/>
      <c r="U40" s="58"/>
    </row>
    <row r="41" spans="1:74" ht="24" hidden="1" customHeight="1" x14ac:dyDescent="0.25">
      <c r="B41" s="671">
        <v>2</v>
      </c>
      <c r="C41" s="692" t="s">
        <v>13</v>
      </c>
      <c r="D41" s="169" t="s">
        <v>110</v>
      </c>
      <c r="E41" s="39">
        <v>0</v>
      </c>
      <c r="F41" s="39" t="s">
        <v>25</v>
      </c>
      <c r="G41" s="35"/>
      <c r="H41" s="60"/>
      <c r="I41" s="81"/>
      <c r="J41" s="81"/>
      <c r="K41" s="81"/>
      <c r="L41" s="81"/>
      <c r="M41" s="58"/>
      <c r="N41" s="58"/>
      <c r="O41" s="58"/>
      <c r="P41" s="58"/>
      <c r="Q41" s="58"/>
      <c r="R41" s="58"/>
      <c r="S41" s="58"/>
      <c r="T41" s="58"/>
      <c r="U41" s="58"/>
    </row>
    <row r="42" spans="1:74" ht="21" hidden="1" customHeight="1" x14ac:dyDescent="0.25">
      <c r="B42" s="672"/>
      <c r="C42" s="693"/>
      <c r="D42" s="169" t="s">
        <v>155</v>
      </c>
      <c r="E42" s="6">
        <v>0</v>
      </c>
      <c r="F42" s="6" t="s">
        <v>25</v>
      </c>
      <c r="G42" s="32"/>
      <c r="H42" s="60"/>
      <c r="I42" s="78"/>
      <c r="J42" s="6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74" ht="21" hidden="1" customHeight="1" x14ac:dyDescent="0.25">
      <c r="A43" s="58"/>
      <c r="B43" s="672"/>
      <c r="C43" s="693"/>
      <c r="D43" s="169" t="s">
        <v>111</v>
      </c>
      <c r="E43" s="6">
        <v>0</v>
      </c>
      <c r="F43" s="46" t="s">
        <v>25</v>
      </c>
      <c r="G43" s="32"/>
      <c r="H43" s="60"/>
      <c r="I43" s="78"/>
      <c r="J43" s="60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74" ht="21" hidden="1" customHeight="1" x14ac:dyDescent="0.25">
      <c r="B44" s="672"/>
      <c r="C44" s="693"/>
      <c r="D44" s="169" t="s">
        <v>156</v>
      </c>
      <c r="E44" s="6">
        <v>0</v>
      </c>
      <c r="F44" s="46" t="s">
        <v>25</v>
      </c>
      <c r="G44" s="32"/>
      <c r="H44" s="60"/>
      <c r="I44" s="78"/>
      <c r="J44" s="60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74" ht="21" hidden="1" customHeight="1" thickBot="1" x14ac:dyDescent="0.3">
      <c r="B45" s="673"/>
      <c r="C45" s="694"/>
      <c r="D45" s="169" t="s">
        <v>154</v>
      </c>
      <c r="E45" s="6">
        <v>0</v>
      </c>
      <c r="F45" s="6" t="s">
        <v>25</v>
      </c>
      <c r="G45" s="32"/>
      <c r="H45" s="60"/>
      <c r="I45" s="78"/>
      <c r="J45" s="60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74" ht="21" hidden="1" customHeight="1" thickBot="1" x14ac:dyDescent="0.3">
      <c r="B46" s="96">
        <v>4</v>
      </c>
      <c r="C46" s="113" t="s">
        <v>44</v>
      </c>
      <c r="D46" s="168" t="s">
        <v>46</v>
      </c>
      <c r="E46" s="44">
        <v>0</v>
      </c>
      <c r="F46" s="44" t="s">
        <v>25</v>
      </c>
      <c r="G46" s="145"/>
      <c r="H46" s="60"/>
      <c r="I46" s="690" t="s">
        <v>47</v>
      </c>
      <c r="J46" s="691"/>
      <c r="K46" s="691"/>
      <c r="L46" s="691"/>
      <c r="M46" s="691"/>
      <c r="N46" s="691"/>
      <c r="O46" s="128">
        <v>0</v>
      </c>
      <c r="P46" s="129" t="s">
        <v>24</v>
      </c>
      <c r="Q46" s="127" t="s">
        <v>45</v>
      </c>
      <c r="R46" s="128">
        <v>205</v>
      </c>
      <c r="S46" s="129" t="s">
        <v>61</v>
      </c>
      <c r="T46" s="58"/>
      <c r="U46" s="58"/>
    </row>
    <row r="47" spans="1:74" ht="21" customHeight="1" thickBot="1" x14ac:dyDescent="0.3">
      <c r="B47" s="703" t="s">
        <v>9</v>
      </c>
      <c r="C47" s="704"/>
      <c r="D47" s="704"/>
      <c r="E47" s="704"/>
      <c r="F47" s="704"/>
      <c r="G47" s="705"/>
      <c r="H47" s="66"/>
      <c r="I47" s="78"/>
      <c r="J47" s="60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74" s="7" customFormat="1" ht="27.75" customHeight="1" x14ac:dyDescent="0.25">
      <c r="A48" s="58"/>
      <c r="B48" s="42">
        <v>1</v>
      </c>
      <c r="C48" s="51" t="s">
        <v>66</v>
      </c>
      <c r="D48" s="89" t="s">
        <v>27</v>
      </c>
      <c r="E48" s="13">
        <v>16</v>
      </c>
      <c r="F48" s="48" t="s">
        <v>10</v>
      </c>
      <c r="G48" s="49"/>
      <c r="H48" s="60"/>
      <c r="I48" s="78"/>
      <c r="J48" s="60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</row>
    <row r="49" spans="1:74" s="7" customFormat="1" ht="27.75" customHeight="1" x14ac:dyDescent="0.25">
      <c r="A49" s="58"/>
      <c r="B49" s="42">
        <v>2</v>
      </c>
      <c r="C49" s="51" t="s">
        <v>143</v>
      </c>
      <c r="D49" s="89" t="s">
        <v>144</v>
      </c>
      <c r="E49" s="62">
        <v>0</v>
      </c>
      <c r="F49" s="48" t="s">
        <v>10</v>
      </c>
      <c r="G49" s="49"/>
      <c r="H49" s="60"/>
      <c r="I49" s="78"/>
      <c r="J49" s="60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</row>
    <row r="50" spans="1:74" s="7" customFormat="1" ht="21" customHeight="1" x14ac:dyDescent="0.25">
      <c r="A50" s="58"/>
      <c r="B50" s="42">
        <v>2</v>
      </c>
      <c r="C50" s="51" t="s">
        <v>59</v>
      </c>
      <c r="D50" s="89" t="s">
        <v>35</v>
      </c>
      <c r="E50" s="13">
        <v>116</v>
      </c>
      <c r="F50" s="48" t="s">
        <v>10</v>
      </c>
      <c r="G50" s="33"/>
      <c r="H50" s="60"/>
      <c r="I50" s="78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</row>
    <row r="51" spans="1:74" s="7" customFormat="1" ht="30" customHeight="1" x14ac:dyDescent="0.25">
      <c r="A51" s="58"/>
      <c r="B51" s="42">
        <v>3</v>
      </c>
      <c r="C51" s="51" t="s">
        <v>12</v>
      </c>
      <c r="D51" s="89" t="s">
        <v>17</v>
      </c>
      <c r="E51" s="13">
        <v>117</v>
      </c>
      <c r="F51" s="48" t="s">
        <v>10</v>
      </c>
      <c r="G51" s="33"/>
      <c r="H51" s="60"/>
      <c r="I51" s="78"/>
      <c r="J51" s="60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</row>
    <row r="52" spans="1:74" s="7" customFormat="1" ht="40.5" customHeight="1" x14ac:dyDescent="0.25">
      <c r="A52" s="58"/>
      <c r="B52" s="42">
        <v>5</v>
      </c>
      <c r="C52" s="51" t="s">
        <v>75</v>
      </c>
      <c r="D52" s="104" t="s">
        <v>67</v>
      </c>
      <c r="E52" s="13">
        <v>0</v>
      </c>
      <c r="F52" s="48" t="s">
        <v>10</v>
      </c>
      <c r="G52" s="33"/>
      <c r="H52" s="60"/>
      <c r="I52" s="78"/>
      <c r="J52" s="60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</row>
    <row r="53" spans="1:74" s="7" customFormat="1" ht="40.5" customHeight="1" x14ac:dyDescent="0.25">
      <c r="A53" s="58"/>
      <c r="B53" s="42">
        <v>4</v>
      </c>
      <c r="C53" s="51" t="s">
        <v>159</v>
      </c>
      <c r="D53" s="104" t="s">
        <v>67</v>
      </c>
      <c r="E53" s="13">
        <v>0</v>
      </c>
      <c r="F53" s="48" t="s">
        <v>10</v>
      </c>
      <c r="G53" s="11" t="s">
        <v>160</v>
      </c>
      <c r="H53" s="60"/>
      <c r="I53" s="78"/>
      <c r="J53" s="60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</row>
    <row r="54" spans="1:74" s="7" customFormat="1" ht="40.5" customHeight="1" x14ac:dyDescent="0.25">
      <c r="A54" s="58"/>
      <c r="B54" s="42">
        <v>3</v>
      </c>
      <c r="C54" s="51" t="s">
        <v>158</v>
      </c>
      <c r="D54" s="104" t="s">
        <v>97</v>
      </c>
      <c r="E54" s="13">
        <v>0</v>
      </c>
      <c r="F54" s="48" t="s">
        <v>10</v>
      </c>
      <c r="G54" s="33"/>
      <c r="H54" s="60"/>
      <c r="I54" s="12"/>
      <c r="J54" s="12"/>
      <c r="K54" s="12"/>
      <c r="L54" s="12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</row>
    <row r="55" spans="1:74" s="7" customFormat="1" ht="40.5" customHeight="1" x14ac:dyDescent="0.25">
      <c r="A55" s="58"/>
      <c r="B55" s="42">
        <v>6</v>
      </c>
      <c r="C55" s="51" t="s">
        <v>157</v>
      </c>
      <c r="D55" s="104" t="s">
        <v>67</v>
      </c>
      <c r="E55" s="13">
        <v>0</v>
      </c>
      <c r="F55" s="48" t="s">
        <v>10</v>
      </c>
      <c r="G55" s="33"/>
      <c r="H55" s="60"/>
      <c r="I55" s="12"/>
      <c r="J55" s="12"/>
      <c r="K55" s="12"/>
      <c r="L55" s="12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</row>
    <row r="56" spans="1:74" s="7" customFormat="1" ht="40.5" customHeight="1" x14ac:dyDescent="0.25">
      <c r="A56" s="58"/>
      <c r="B56" s="42">
        <v>9</v>
      </c>
      <c r="C56" s="51" t="s">
        <v>121</v>
      </c>
      <c r="D56" s="104" t="s">
        <v>122</v>
      </c>
      <c r="E56" s="62">
        <v>0</v>
      </c>
      <c r="F56" s="48" t="s">
        <v>10</v>
      </c>
      <c r="G56" s="33"/>
      <c r="H56" s="60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</row>
    <row r="57" spans="1:74" s="7" customFormat="1" ht="40.5" customHeight="1" x14ac:dyDescent="0.25">
      <c r="A57" s="58"/>
      <c r="B57" s="42">
        <v>10</v>
      </c>
      <c r="C57" s="51" t="s">
        <v>76</v>
      </c>
      <c r="D57" s="89" t="s">
        <v>69</v>
      </c>
      <c r="E57" s="13">
        <v>0</v>
      </c>
      <c r="F57" s="48" t="s">
        <v>10</v>
      </c>
      <c r="G57" s="33"/>
      <c r="H57" s="60"/>
      <c r="I57" s="12"/>
      <c r="J57" s="12"/>
      <c r="K57" s="12"/>
      <c r="L57" s="12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</row>
    <row r="58" spans="1:74" s="7" customFormat="1" ht="40.5" customHeight="1" x14ac:dyDescent="0.25">
      <c r="A58" s="58"/>
      <c r="B58" s="42">
        <v>11</v>
      </c>
      <c r="C58" s="51" t="s">
        <v>77</v>
      </c>
      <c r="D58" s="89" t="s">
        <v>41</v>
      </c>
      <c r="E58" s="13">
        <v>0</v>
      </c>
      <c r="F58" s="48" t="s">
        <v>10</v>
      </c>
      <c r="G58" s="33"/>
      <c r="H58" s="60"/>
      <c r="I58" s="12"/>
      <c r="J58" s="12"/>
      <c r="K58" s="12"/>
      <c r="L58" s="12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</row>
    <row r="59" spans="1:74" s="7" customFormat="1" ht="21" customHeight="1" x14ac:dyDescent="0.25">
      <c r="A59" s="58"/>
      <c r="B59" s="42">
        <v>7</v>
      </c>
      <c r="C59" s="51" t="s">
        <v>42</v>
      </c>
      <c r="D59" s="88"/>
      <c r="E59" s="13">
        <v>0</v>
      </c>
      <c r="F59" s="48" t="s">
        <v>10</v>
      </c>
      <c r="G59" s="33"/>
      <c r="H59" s="60"/>
      <c r="I59" s="12"/>
      <c r="J59" s="12"/>
      <c r="K59" s="12"/>
      <c r="L59" s="12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</row>
    <row r="60" spans="1:74" s="7" customFormat="1" ht="21" customHeight="1" x14ac:dyDescent="0.25">
      <c r="A60" s="58"/>
      <c r="B60" s="42">
        <v>4</v>
      </c>
      <c r="C60" s="51" t="s">
        <v>55</v>
      </c>
      <c r="D60" s="89"/>
      <c r="E60" s="13">
        <v>19</v>
      </c>
      <c r="F60" s="48" t="s">
        <v>10</v>
      </c>
      <c r="G60" s="49"/>
      <c r="H60" s="74"/>
      <c r="I60" s="695"/>
      <c r="J60" s="695"/>
      <c r="K60" s="695"/>
      <c r="L60" s="695"/>
      <c r="M60" s="695"/>
      <c r="N60" s="695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</row>
    <row r="61" spans="1:74" s="7" customFormat="1" ht="21" customHeight="1" x14ac:dyDescent="0.25">
      <c r="A61" s="58"/>
      <c r="B61" s="157">
        <v>9</v>
      </c>
      <c r="C61" s="51" t="s">
        <v>105</v>
      </c>
      <c r="D61" s="135" t="s">
        <v>106</v>
      </c>
      <c r="E61" s="147">
        <v>0</v>
      </c>
      <c r="F61" s="91" t="s">
        <v>10</v>
      </c>
      <c r="G61" s="110"/>
      <c r="H61" s="74"/>
      <c r="I61" s="155"/>
      <c r="J61" s="155"/>
      <c r="K61" s="155"/>
      <c r="L61" s="155"/>
      <c r="M61" s="155"/>
      <c r="N61" s="155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</row>
    <row r="62" spans="1:74" s="7" customFormat="1" ht="21" customHeight="1" x14ac:dyDescent="0.25">
      <c r="A62" s="58"/>
      <c r="B62" s="31">
        <v>15</v>
      </c>
      <c r="C62" s="109" t="s">
        <v>39</v>
      </c>
      <c r="D62" s="135" t="s">
        <v>40</v>
      </c>
      <c r="E62" s="90">
        <v>0</v>
      </c>
      <c r="F62" s="91" t="s">
        <v>10</v>
      </c>
      <c r="G62" s="110"/>
      <c r="H62" s="74"/>
      <c r="I62" s="81"/>
      <c r="J62" s="81"/>
      <c r="K62" s="81"/>
      <c r="L62" s="81"/>
      <c r="M62" s="81"/>
      <c r="N62" s="81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</row>
    <row r="63" spans="1:74" s="7" customFormat="1" ht="34.5" customHeight="1" x14ac:dyDescent="0.25">
      <c r="A63" s="58"/>
      <c r="B63" s="31">
        <v>5</v>
      </c>
      <c r="C63" s="109" t="s">
        <v>170</v>
      </c>
      <c r="D63" s="135" t="s">
        <v>21</v>
      </c>
      <c r="E63" s="90">
        <v>7</v>
      </c>
      <c r="F63" s="91" t="s">
        <v>10</v>
      </c>
      <c r="G63" s="110"/>
      <c r="H63" s="74"/>
      <c r="I63" s="81"/>
      <c r="J63" s="81"/>
      <c r="K63" s="81"/>
      <c r="L63" s="81"/>
      <c r="M63" s="81"/>
      <c r="N63" s="81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</row>
    <row r="64" spans="1:74" s="7" customFormat="1" ht="39.75" customHeight="1" thickBot="1" x14ac:dyDescent="0.3">
      <c r="A64" s="58"/>
      <c r="B64" s="31">
        <v>9</v>
      </c>
      <c r="C64" s="109" t="s">
        <v>161</v>
      </c>
      <c r="D64" s="135" t="s">
        <v>21</v>
      </c>
      <c r="E64" s="90">
        <v>0</v>
      </c>
      <c r="F64" s="91" t="s">
        <v>10</v>
      </c>
      <c r="G64" s="92"/>
      <c r="H64" s="60"/>
      <c r="I64" s="130"/>
      <c r="J64" s="130"/>
      <c r="K64" s="130"/>
      <c r="L64" s="130"/>
      <c r="M64" s="130"/>
      <c r="N64" s="130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</row>
    <row r="65" spans="1:74" s="7" customFormat="1" ht="21" customHeight="1" thickBot="1" x14ac:dyDescent="0.3">
      <c r="A65" s="58"/>
      <c r="B65" s="703" t="s">
        <v>33</v>
      </c>
      <c r="C65" s="704"/>
      <c r="D65" s="704"/>
      <c r="E65" s="704"/>
      <c r="F65" s="704"/>
      <c r="G65" s="705"/>
      <c r="H65" s="74"/>
      <c r="I65" s="78"/>
      <c r="J65" s="60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</row>
    <row r="66" spans="1:74" s="7" customFormat="1" ht="27.75" customHeight="1" x14ac:dyDescent="0.25">
      <c r="A66" s="58"/>
      <c r="B66" s="40">
        <v>1</v>
      </c>
      <c r="C66" s="50" t="s">
        <v>78</v>
      </c>
      <c r="D66" s="732" t="s">
        <v>18</v>
      </c>
      <c r="E66" s="61">
        <v>20</v>
      </c>
      <c r="F66" s="47" t="s">
        <v>10</v>
      </c>
      <c r="G66" s="36"/>
      <c r="H66" s="74"/>
      <c r="I66" s="78"/>
      <c r="J66" s="60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</row>
    <row r="67" spans="1:74" s="7" customFormat="1" ht="30.75" customHeight="1" x14ac:dyDescent="0.25">
      <c r="A67" s="58"/>
      <c r="B67" s="196">
        <v>2</v>
      </c>
      <c r="C67" s="109" t="s">
        <v>79</v>
      </c>
      <c r="D67" s="733"/>
      <c r="E67" s="90">
        <v>15</v>
      </c>
      <c r="F67" s="91" t="s">
        <v>10</v>
      </c>
      <c r="G67" s="92"/>
      <c r="H67" s="74"/>
      <c r="I67" s="78"/>
      <c r="J67" s="60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</row>
    <row r="68" spans="1:74" s="7" customFormat="1" ht="21" customHeight="1" x14ac:dyDescent="0.25">
      <c r="A68" s="58"/>
      <c r="B68" s="42">
        <v>3</v>
      </c>
      <c r="C68" s="51" t="s">
        <v>91</v>
      </c>
      <c r="D68" s="733"/>
      <c r="E68" s="99">
        <f>E67</f>
        <v>15</v>
      </c>
      <c r="F68" s="48" t="s">
        <v>10</v>
      </c>
      <c r="G68" s="33"/>
      <c r="H68" s="74"/>
      <c r="I68" s="78"/>
      <c r="J68" s="60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</row>
    <row r="69" spans="1:74" s="7" customFormat="1" ht="21" customHeight="1" x14ac:dyDescent="0.25">
      <c r="A69" s="58"/>
      <c r="B69" s="42">
        <v>4</v>
      </c>
      <c r="C69" s="52" t="s">
        <v>70</v>
      </c>
      <c r="D69" s="733"/>
      <c r="E69" s="99">
        <f>E67</f>
        <v>15</v>
      </c>
      <c r="F69" s="48" t="s">
        <v>10</v>
      </c>
      <c r="G69" s="33"/>
      <c r="H69" s="74"/>
      <c r="I69" s="78"/>
      <c r="J69" s="60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</row>
    <row r="70" spans="1:74" s="7" customFormat="1" ht="21" customHeight="1" thickBot="1" x14ac:dyDescent="0.3">
      <c r="A70" s="58"/>
      <c r="B70" s="42">
        <v>5</v>
      </c>
      <c r="C70" s="52" t="s">
        <v>71</v>
      </c>
      <c r="D70" s="733"/>
      <c r="E70" s="62">
        <v>9</v>
      </c>
      <c r="F70" s="48" t="s">
        <v>10</v>
      </c>
      <c r="G70" s="33"/>
      <c r="H70" s="60"/>
      <c r="I70" s="78"/>
      <c r="J70" s="60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</row>
    <row r="71" spans="1:74" s="7" customFormat="1" ht="21" hidden="1" customHeight="1" x14ac:dyDescent="0.25">
      <c r="A71" s="58"/>
      <c r="B71" s="194">
        <v>6</v>
      </c>
      <c r="C71" s="158" t="s">
        <v>104</v>
      </c>
      <c r="D71" s="733"/>
      <c r="E71" s="21">
        <v>0</v>
      </c>
      <c r="F71" s="134" t="s">
        <v>10</v>
      </c>
      <c r="G71" s="159"/>
      <c r="H71" s="60"/>
      <c r="I71" s="78"/>
      <c r="J71" s="60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</row>
    <row r="72" spans="1:74" s="7" customFormat="1" ht="21" hidden="1" customHeight="1" thickBot="1" x14ac:dyDescent="0.3">
      <c r="A72" s="58"/>
      <c r="B72" s="43">
        <v>7</v>
      </c>
      <c r="C72" s="82" t="s">
        <v>72</v>
      </c>
      <c r="D72" s="734"/>
      <c r="E72" s="63">
        <v>0</v>
      </c>
      <c r="F72" s="83" t="s">
        <v>34</v>
      </c>
      <c r="G72" s="84"/>
      <c r="H72" s="60"/>
      <c r="I72" s="78"/>
      <c r="J72" s="60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</row>
    <row r="73" spans="1:74" s="7" customFormat="1" ht="27" customHeight="1" x14ac:dyDescent="0.25">
      <c r="A73" s="58"/>
      <c r="B73" s="40">
        <v>6</v>
      </c>
      <c r="C73" s="50" t="s">
        <v>73</v>
      </c>
      <c r="D73" s="732" t="s">
        <v>35</v>
      </c>
      <c r="E73" s="61">
        <v>8</v>
      </c>
      <c r="F73" s="47" t="s">
        <v>10</v>
      </c>
      <c r="G73" s="93"/>
      <c r="H73" s="60"/>
      <c r="I73" s="78"/>
      <c r="J73" s="60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</row>
    <row r="74" spans="1:74" s="7" customFormat="1" ht="21" customHeight="1" x14ac:dyDescent="0.25">
      <c r="A74" s="58"/>
      <c r="B74" s="42">
        <v>7</v>
      </c>
      <c r="C74" s="51" t="s">
        <v>90</v>
      </c>
      <c r="D74" s="733"/>
      <c r="E74" s="62">
        <v>190</v>
      </c>
      <c r="F74" s="48" t="s">
        <v>10</v>
      </c>
      <c r="G74" s="49"/>
      <c r="H74" s="60"/>
      <c r="I74" s="78"/>
      <c r="J74" s="60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</row>
    <row r="75" spans="1:74" s="7" customFormat="1" ht="21" customHeight="1" thickBot="1" x14ac:dyDescent="0.3">
      <c r="A75" s="58"/>
      <c r="B75" s="96">
        <v>8</v>
      </c>
      <c r="C75" s="97" t="s">
        <v>89</v>
      </c>
      <c r="D75" s="734"/>
      <c r="E75" s="100">
        <f>E74</f>
        <v>190</v>
      </c>
      <c r="F75" s="83" t="s">
        <v>10</v>
      </c>
      <c r="G75" s="94"/>
      <c r="H75" s="60"/>
      <c r="I75" s="78"/>
      <c r="J75" s="60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</row>
    <row r="76" spans="1:74" s="7" customFormat="1" ht="28.5" hidden="1" customHeight="1" x14ac:dyDescent="0.25">
      <c r="A76" s="58"/>
      <c r="B76" s="111">
        <v>11</v>
      </c>
      <c r="C76" s="50" t="s">
        <v>171</v>
      </c>
      <c r="D76" s="732" t="s">
        <v>87</v>
      </c>
      <c r="E76" s="61">
        <v>0</v>
      </c>
      <c r="F76" s="47" t="s">
        <v>34</v>
      </c>
      <c r="G76" s="93"/>
      <c r="H76" s="60"/>
      <c r="I76" s="678" t="s">
        <v>92</v>
      </c>
      <c r="J76" s="679"/>
      <c r="K76" s="679"/>
      <c r="L76" s="679"/>
      <c r="M76" s="679"/>
      <c r="N76" s="679"/>
      <c r="O76" s="679"/>
      <c r="P76" s="680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s="7" customFormat="1" ht="21" hidden="1" customHeight="1" thickBot="1" x14ac:dyDescent="0.3">
      <c r="A77" s="58"/>
      <c r="B77" s="148">
        <v>12</v>
      </c>
      <c r="C77" s="51" t="s">
        <v>116</v>
      </c>
      <c r="D77" s="733"/>
      <c r="E77" s="62">
        <v>0</v>
      </c>
      <c r="F77" s="48" t="s">
        <v>10</v>
      </c>
      <c r="G77" s="49"/>
      <c r="H77" s="60"/>
      <c r="I77" s="681"/>
      <c r="J77" s="682"/>
      <c r="K77" s="682"/>
      <c r="L77" s="682"/>
      <c r="M77" s="682"/>
      <c r="N77" s="682"/>
      <c r="O77" s="682"/>
      <c r="P77" s="683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</row>
    <row r="78" spans="1:74" s="7" customFormat="1" ht="21" hidden="1" customHeight="1" thickBot="1" x14ac:dyDescent="0.3">
      <c r="A78" s="58"/>
      <c r="B78" s="96">
        <v>13</v>
      </c>
      <c r="C78" s="97" t="s">
        <v>117</v>
      </c>
      <c r="D78" s="734"/>
      <c r="E78" s="100">
        <f>E77</f>
        <v>0</v>
      </c>
      <c r="F78" s="83" t="s">
        <v>10</v>
      </c>
      <c r="G78" s="94"/>
      <c r="H78" s="60"/>
      <c r="I78" s="78"/>
      <c r="J78" s="60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</row>
    <row r="79" spans="1:74" s="7" customFormat="1" ht="25.5" customHeight="1" x14ac:dyDescent="0.25">
      <c r="A79" s="58"/>
      <c r="B79" s="111">
        <v>9</v>
      </c>
      <c r="C79" s="50" t="s">
        <v>173</v>
      </c>
      <c r="D79" s="160" t="s">
        <v>172</v>
      </c>
      <c r="E79" s="61">
        <v>4</v>
      </c>
      <c r="F79" s="47" t="s">
        <v>10</v>
      </c>
      <c r="G79" s="93"/>
      <c r="H79" s="60"/>
      <c r="I79" s="78"/>
      <c r="J79" s="60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</row>
    <row r="80" spans="1:74" s="7" customFormat="1" ht="25.5" customHeight="1" x14ac:dyDescent="0.25">
      <c r="A80" s="58"/>
      <c r="B80" s="196">
        <v>10</v>
      </c>
      <c r="C80" s="109" t="s">
        <v>174</v>
      </c>
      <c r="D80" s="187" t="s">
        <v>172</v>
      </c>
      <c r="E80" s="147">
        <v>28</v>
      </c>
      <c r="F80" s="91" t="s">
        <v>10</v>
      </c>
      <c r="G80" s="110"/>
      <c r="H80" s="60"/>
      <c r="I80" s="78"/>
      <c r="J80" s="60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</row>
    <row r="81" spans="1:74" s="7" customFormat="1" ht="24" customHeight="1" thickBot="1" x14ac:dyDescent="0.3">
      <c r="A81" s="58"/>
      <c r="B81" s="196">
        <v>11</v>
      </c>
      <c r="C81" s="109" t="s">
        <v>147</v>
      </c>
      <c r="D81" s="187" t="s">
        <v>149</v>
      </c>
      <c r="E81" s="147">
        <v>49</v>
      </c>
      <c r="F81" s="91" t="s">
        <v>10</v>
      </c>
      <c r="G81" s="110" t="s">
        <v>148</v>
      </c>
      <c r="H81" s="60"/>
      <c r="I81" s="78"/>
      <c r="J81" s="60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</row>
    <row r="82" spans="1:74" s="7" customFormat="1" ht="21" customHeight="1" thickBot="1" x14ac:dyDescent="0.3">
      <c r="A82" s="58"/>
      <c r="B82" s="196">
        <v>12</v>
      </c>
      <c r="C82" s="109" t="s">
        <v>102</v>
      </c>
      <c r="D82" s="135" t="s">
        <v>54</v>
      </c>
      <c r="E82" s="136">
        <f>4*P82</f>
        <v>20</v>
      </c>
      <c r="F82" s="91" t="s">
        <v>10</v>
      </c>
      <c r="G82" s="110"/>
      <c r="H82" s="60"/>
      <c r="I82" s="676" t="s">
        <v>53</v>
      </c>
      <c r="J82" s="677"/>
      <c r="K82" s="677"/>
      <c r="L82" s="677"/>
      <c r="M82" s="677"/>
      <c r="N82" s="677"/>
      <c r="O82" s="677"/>
      <c r="P82" s="114">
        <v>5</v>
      </c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</row>
    <row r="83" spans="1:74" s="7" customFormat="1" ht="27.75" customHeight="1" x14ac:dyDescent="0.25">
      <c r="A83" s="58"/>
      <c r="B83" s="196">
        <v>13</v>
      </c>
      <c r="C83" s="109" t="s">
        <v>175</v>
      </c>
      <c r="D83" s="730" t="s">
        <v>150</v>
      </c>
      <c r="E83" s="136">
        <f>(E59+E60)*8</f>
        <v>152</v>
      </c>
      <c r="F83" s="91" t="s">
        <v>10</v>
      </c>
      <c r="G83" s="110"/>
      <c r="H83" s="60"/>
      <c r="I83" s="189"/>
      <c r="J83" s="189"/>
      <c r="K83" s="189"/>
      <c r="L83" s="189"/>
      <c r="M83" s="189"/>
      <c r="N83" s="189"/>
      <c r="O83" s="189"/>
      <c r="P83" s="18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</row>
    <row r="84" spans="1:74" s="7" customFormat="1" ht="21" customHeight="1" thickBot="1" x14ac:dyDescent="0.3">
      <c r="A84" s="58"/>
      <c r="B84" s="196">
        <v>14</v>
      </c>
      <c r="C84" s="109" t="s">
        <v>151</v>
      </c>
      <c r="D84" s="731"/>
      <c r="E84" s="136">
        <f>E83</f>
        <v>152</v>
      </c>
      <c r="F84" s="91" t="s">
        <v>10</v>
      </c>
      <c r="G84" s="110"/>
      <c r="H84" s="60"/>
      <c r="I84" s="189"/>
      <c r="J84" s="189"/>
      <c r="K84" s="189"/>
      <c r="L84" s="189"/>
      <c r="M84" s="189"/>
      <c r="N84" s="189"/>
      <c r="O84" s="189"/>
      <c r="P84" s="18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</row>
    <row r="85" spans="1:74" ht="27.75" hidden="1" customHeight="1" thickBot="1" x14ac:dyDescent="0.3">
      <c r="A85" s="58"/>
      <c r="B85" s="196">
        <v>19</v>
      </c>
      <c r="C85" s="38" t="s">
        <v>74</v>
      </c>
      <c r="D85" s="667" t="s">
        <v>62</v>
      </c>
      <c r="E85" s="101">
        <f>O86*4</f>
        <v>0</v>
      </c>
      <c r="F85" s="39" t="s">
        <v>10</v>
      </c>
      <c r="G85" s="35"/>
      <c r="H85" s="59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</row>
    <row r="86" spans="1:74" ht="21" hidden="1" customHeight="1" thickBot="1" x14ac:dyDescent="0.3">
      <c r="A86" s="58"/>
      <c r="B86" s="148">
        <v>20</v>
      </c>
      <c r="C86" s="95" t="s">
        <v>118</v>
      </c>
      <c r="D86" s="668"/>
      <c r="E86" s="102">
        <f>E85</f>
        <v>0</v>
      </c>
      <c r="F86" s="6" t="s">
        <v>10</v>
      </c>
      <c r="G86" s="32"/>
      <c r="H86" s="59"/>
      <c r="I86" s="665" t="s">
        <v>52</v>
      </c>
      <c r="J86" s="666"/>
      <c r="K86" s="666"/>
      <c r="L86" s="666"/>
      <c r="M86" s="666"/>
      <c r="N86" s="666"/>
      <c r="O86" s="175">
        <v>0</v>
      </c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</row>
    <row r="87" spans="1:74" ht="30" customHeight="1" thickBot="1" x14ac:dyDescent="0.3">
      <c r="A87" s="58"/>
      <c r="B87" s="148">
        <v>15</v>
      </c>
      <c r="C87" s="22" t="s">
        <v>103</v>
      </c>
      <c r="D87" s="667" t="s">
        <v>100</v>
      </c>
      <c r="E87" s="102">
        <f>(O88*8)+O87</f>
        <v>104</v>
      </c>
      <c r="F87" s="6" t="s">
        <v>10</v>
      </c>
      <c r="G87" s="32"/>
      <c r="H87" s="59"/>
      <c r="I87" s="661" t="s">
        <v>123</v>
      </c>
      <c r="J87" s="662"/>
      <c r="K87" s="662"/>
      <c r="L87" s="662"/>
      <c r="M87" s="662"/>
      <c r="N87" s="662"/>
      <c r="O87" s="177">
        <v>0</v>
      </c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</row>
    <row r="88" spans="1:74" ht="21" customHeight="1" thickBot="1" x14ac:dyDescent="0.3">
      <c r="A88" s="58"/>
      <c r="B88" s="148">
        <v>16</v>
      </c>
      <c r="C88" s="22" t="s">
        <v>88</v>
      </c>
      <c r="D88" s="668"/>
      <c r="E88" s="102">
        <f>E87</f>
        <v>104</v>
      </c>
      <c r="F88" s="6" t="s">
        <v>10</v>
      </c>
      <c r="G88" s="32"/>
      <c r="H88" s="59"/>
      <c r="I88" s="663" t="s">
        <v>60</v>
      </c>
      <c r="J88" s="664"/>
      <c r="K88" s="664"/>
      <c r="L88" s="664"/>
      <c r="M88" s="664"/>
      <c r="N88" s="664"/>
      <c r="O88" s="176">
        <v>13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</row>
    <row r="89" spans="1:74" ht="21" hidden="1" customHeight="1" x14ac:dyDescent="0.25">
      <c r="B89" s="148">
        <v>23</v>
      </c>
      <c r="C89" s="22" t="s">
        <v>115</v>
      </c>
      <c r="D89" s="166" t="s">
        <v>68</v>
      </c>
      <c r="E89" s="102">
        <f>E57</f>
        <v>0</v>
      </c>
      <c r="F89" s="6" t="s">
        <v>10</v>
      </c>
      <c r="G89" s="32"/>
      <c r="H89" s="59"/>
      <c r="I89" s="131"/>
      <c r="J89" s="131"/>
      <c r="K89" s="131"/>
      <c r="L89" s="131"/>
      <c r="M89" s="131"/>
      <c r="N89" s="131"/>
      <c r="O89" s="132"/>
    </row>
    <row r="90" spans="1:74" ht="30" customHeight="1" x14ac:dyDescent="0.25">
      <c r="A90" s="58"/>
      <c r="B90" s="148">
        <v>17</v>
      </c>
      <c r="C90" s="22" t="s">
        <v>176</v>
      </c>
      <c r="D90" s="667"/>
      <c r="E90" s="102">
        <v>24</v>
      </c>
      <c r="F90" s="6" t="s">
        <v>10</v>
      </c>
      <c r="G90" s="32"/>
      <c r="H90" s="59"/>
      <c r="I90" s="131"/>
      <c r="J90" s="131"/>
      <c r="K90" s="131"/>
      <c r="L90" s="131"/>
      <c r="M90" s="131"/>
      <c r="N90" s="131"/>
      <c r="O90" s="132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74" ht="21" customHeight="1" x14ac:dyDescent="0.25">
      <c r="A91" s="58"/>
      <c r="B91" s="148">
        <v>18</v>
      </c>
      <c r="C91" s="22" t="s">
        <v>177</v>
      </c>
      <c r="D91" s="668"/>
      <c r="E91" s="102">
        <f>E90</f>
        <v>24</v>
      </c>
      <c r="F91" s="6" t="s">
        <v>10</v>
      </c>
      <c r="G91" s="32"/>
      <c r="H91" s="59"/>
      <c r="I91" s="131"/>
      <c r="J91" s="131"/>
      <c r="K91" s="131"/>
      <c r="L91" s="131"/>
      <c r="M91" s="131"/>
      <c r="N91" s="131"/>
      <c r="O91" s="132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74" ht="30" customHeight="1" x14ac:dyDescent="0.25">
      <c r="B92" s="148">
        <v>19</v>
      </c>
      <c r="C92" s="22" t="s">
        <v>178</v>
      </c>
      <c r="D92" s="667"/>
      <c r="E92" s="133">
        <v>112</v>
      </c>
      <c r="F92" s="6" t="s">
        <v>10</v>
      </c>
      <c r="G92" s="32"/>
      <c r="H92" s="59"/>
      <c r="I92" s="131"/>
      <c r="J92" s="131"/>
      <c r="K92" s="131"/>
      <c r="L92" s="131"/>
      <c r="M92" s="131"/>
      <c r="N92" s="131"/>
      <c r="O92" s="132"/>
    </row>
    <row r="93" spans="1:74" ht="21" hidden="1" customHeight="1" x14ac:dyDescent="0.25">
      <c r="B93" s="148">
        <v>18</v>
      </c>
      <c r="C93" s="22" t="s">
        <v>86</v>
      </c>
      <c r="D93" s="668"/>
      <c r="E93" s="102">
        <f>E92</f>
        <v>112</v>
      </c>
      <c r="F93" s="6" t="s">
        <v>10</v>
      </c>
      <c r="G93" s="32"/>
      <c r="H93" s="59"/>
      <c r="I93" s="131"/>
      <c r="J93" s="131"/>
      <c r="K93" s="131"/>
      <c r="L93" s="131"/>
      <c r="M93" s="131"/>
      <c r="N93" s="131"/>
      <c r="O93" s="132"/>
    </row>
    <row r="94" spans="1:74" ht="21" hidden="1" customHeight="1" x14ac:dyDescent="0.25">
      <c r="A94" s="58"/>
      <c r="B94" s="148">
        <v>19</v>
      </c>
      <c r="C94" s="171" t="s">
        <v>119</v>
      </c>
      <c r="D94" s="169" t="s">
        <v>120</v>
      </c>
      <c r="E94" s="102" t="e">
        <f>(((#REF!-#REF!)*6)*0.258)*24</f>
        <v>#REF!</v>
      </c>
      <c r="F94" s="6" t="s">
        <v>10</v>
      </c>
      <c r="G94" s="32"/>
      <c r="H94" s="59"/>
      <c r="I94" s="131"/>
      <c r="J94" s="131"/>
      <c r="K94" s="131"/>
      <c r="L94" s="131"/>
      <c r="M94" s="131"/>
      <c r="N94" s="131"/>
      <c r="O94" s="132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</row>
    <row r="95" spans="1:74" ht="21" hidden="1" customHeight="1" x14ac:dyDescent="0.25">
      <c r="B95" s="148">
        <v>29</v>
      </c>
      <c r="C95" s="95" t="s">
        <v>80</v>
      </c>
      <c r="D95" s="166" t="s">
        <v>57</v>
      </c>
      <c r="E95" s="102">
        <f>E62*10</f>
        <v>0</v>
      </c>
      <c r="F95" s="6" t="s">
        <v>10</v>
      </c>
      <c r="G95" s="32"/>
      <c r="H95" s="59"/>
      <c r="I95" s="58"/>
      <c r="J95" s="58"/>
      <c r="K95" s="58"/>
      <c r="L95" s="58"/>
      <c r="M95" s="58"/>
      <c r="N95" s="58"/>
      <c r="O95" s="58"/>
    </row>
    <row r="96" spans="1:74" ht="20.25" customHeight="1" thickBot="1" x14ac:dyDescent="0.3">
      <c r="B96" s="96">
        <v>20</v>
      </c>
      <c r="C96" s="206" t="s">
        <v>162</v>
      </c>
      <c r="D96" s="207" t="s">
        <v>179</v>
      </c>
      <c r="E96" s="202">
        <f>(8*(E51+E50))+(E53*4)+(E54*4)+(8*E58)+(8*P82)+(8*E63)+(8*E64)+(E55*4)+(E52*4)+(E57*4)+(E56*8)</f>
        <v>1960</v>
      </c>
      <c r="F96" s="44" t="s">
        <v>10</v>
      </c>
      <c r="G96" s="185"/>
      <c r="H96" s="59"/>
      <c r="I96" s="58"/>
      <c r="J96" s="58"/>
      <c r="K96" s="58"/>
      <c r="L96" s="58"/>
      <c r="M96" s="58"/>
      <c r="N96" s="58"/>
      <c r="O96" s="58"/>
    </row>
    <row r="97" spans="1:37" ht="21" hidden="1" customHeight="1" thickBot="1" x14ac:dyDescent="0.3">
      <c r="A97" s="58"/>
      <c r="B97" s="195">
        <v>21</v>
      </c>
      <c r="C97" s="203" t="s">
        <v>140</v>
      </c>
      <c r="D97" s="167" t="s">
        <v>141</v>
      </c>
      <c r="E97" s="204">
        <f>E105*4</f>
        <v>0</v>
      </c>
      <c r="F97" s="45" t="s">
        <v>10</v>
      </c>
      <c r="G97" s="205"/>
      <c r="H97" s="59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1:37" ht="27" hidden="1" customHeight="1" thickBot="1" x14ac:dyDescent="0.3">
      <c r="B98" s="192">
        <v>22</v>
      </c>
      <c r="C98" s="112" t="s">
        <v>81</v>
      </c>
      <c r="D98" s="116" t="s">
        <v>43</v>
      </c>
      <c r="E98" s="103">
        <f>O98*11</f>
        <v>0</v>
      </c>
      <c r="F98" s="46" t="s">
        <v>10</v>
      </c>
      <c r="G98" s="37"/>
      <c r="H98" s="59"/>
      <c r="I98" s="674" t="s">
        <v>48</v>
      </c>
      <c r="J98" s="675"/>
      <c r="K98" s="675"/>
      <c r="L98" s="675"/>
      <c r="M98" s="675"/>
      <c r="N98" s="675"/>
      <c r="O98" s="144">
        <f>E9</f>
        <v>0</v>
      </c>
    </row>
    <row r="99" spans="1:37" ht="21" hidden="1" customHeight="1" thickBot="1" x14ac:dyDescent="0.3">
      <c r="B99" s="96">
        <v>12</v>
      </c>
      <c r="C99" s="55" t="s">
        <v>82</v>
      </c>
      <c r="D99" s="201" t="s">
        <v>36</v>
      </c>
      <c r="E99" s="202">
        <f>12*(E53+E54+E55+E52)</f>
        <v>0</v>
      </c>
      <c r="F99" s="56" t="s">
        <v>10</v>
      </c>
      <c r="G99" s="57"/>
      <c r="H99" s="58"/>
      <c r="I99" s="58"/>
      <c r="J99" s="58"/>
      <c r="K99" s="58"/>
      <c r="L99" s="58"/>
      <c r="M99" s="58"/>
      <c r="N99" s="58"/>
      <c r="O99" s="58"/>
    </row>
    <row r="100" spans="1:37" ht="21" hidden="1" customHeight="1" thickBot="1" x14ac:dyDescent="0.3">
      <c r="B100" s="193">
        <v>24</v>
      </c>
      <c r="C100" s="197" t="s">
        <v>83</v>
      </c>
      <c r="D100" s="198"/>
      <c r="E100" s="199">
        <v>0</v>
      </c>
      <c r="F100" s="199" t="s">
        <v>26</v>
      </c>
      <c r="G100" s="200"/>
      <c r="H100" s="58"/>
      <c r="I100" s="58"/>
      <c r="J100" s="58"/>
      <c r="K100" s="58"/>
      <c r="L100" s="58"/>
      <c r="M100" s="58"/>
      <c r="N100" s="58"/>
      <c r="O100" s="58"/>
    </row>
    <row r="101" spans="1:37" ht="15.6" hidden="1" thickBot="1" x14ac:dyDescent="0.3">
      <c r="B101" s="658" t="s">
        <v>49</v>
      </c>
      <c r="C101" s="659"/>
      <c r="D101" s="659"/>
      <c r="E101" s="659"/>
      <c r="F101" s="659"/>
      <c r="G101" s="660"/>
      <c r="H101" s="58"/>
      <c r="I101" s="58"/>
      <c r="J101" s="58"/>
      <c r="K101" s="58"/>
      <c r="L101" s="58"/>
      <c r="M101" s="58"/>
      <c r="N101" s="58"/>
      <c r="O101" s="58"/>
    </row>
    <row r="102" spans="1:37" ht="21" hidden="1" customHeight="1" x14ac:dyDescent="0.25">
      <c r="B102" s="111">
        <v>1</v>
      </c>
      <c r="C102" s="117" t="s">
        <v>50</v>
      </c>
      <c r="D102" s="118"/>
      <c r="E102" s="119">
        <v>0</v>
      </c>
      <c r="F102" s="120" t="s">
        <v>10</v>
      </c>
      <c r="G102" s="121"/>
      <c r="H102" s="58"/>
      <c r="I102" s="58"/>
      <c r="J102" s="58"/>
      <c r="K102" s="58"/>
      <c r="L102" s="58"/>
      <c r="M102" s="58"/>
      <c r="N102" s="58"/>
      <c r="O102" s="58"/>
    </row>
    <row r="103" spans="1:37" ht="21" hidden="1" customHeight="1" x14ac:dyDescent="0.25">
      <c r="A103" s="58"/>
      <c r="B103" s="172">
        <v>2</v>
      </c>
      <c r="C103" s="150" t="s">
        <v>124</v>
      </c>
      <c r="D103" s="151"/>
      <c r="E103" s="178">
        <v>0</v>
      </c>
      <c r="F103" s="152" t="s">
        <v>10</v>
      </c>
      <c r="G103" s="153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</row>
    <row r="104" spans="1:37" ht="21" hidden="1" customHeight="1" x14ac:dyDescent="0.25">
      <c r="A104" s="58"/>
      <c r="B104" s="172">
        <v>2</v>
      </c>
      <c r="C104" s="179" t="s">
        <v>127</v>
      </c>
      <c r="D104" s="180"/>
      <c r="E104" s="178">
        <v>0</v>
      </c>
      <c r="F104" s="152" t="s">
        <v>23</v>
      </c>
      <c r="G104" s="15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1:37" ht="21" hidden="1" customHeight="1" x14ac:dyDescent="0.25">
      <c r="A105" s="58"/>
      <c r="B105" s="154">
        <v>3</v>
      </c>
      <c r="C105" s="735" t="s">
        <v>51</v>
      </c>
      <c r="D105" s="736"/>
      <c r="E105" s="152">
        <v>0</v>
      </c>
      <c r="F105" s="152" t="s">
        <v>34</v>
      </c>
      <c r="G105" s="15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</row>
    <row r="106" spans="1:37" ht="21" hidden="1" customHeight="1" x14ac:dyDescent="0.25">
      <c r="A106" s="58"/>
      <c r="B106" s="186">
        <v>5</v>
      </c>
      <c r="C106" s="735" t="s">
        <v>142</v>
      </c>
      <c r="D106" s="736"/>
      <c r="E106" s="152">
        <v>0</v>
      </c>
      <c r="F106" s="152" t="s">
        <v>34</v>
      </c>
      <c r="G106" s="153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</row>
    <row r="107" spans="1:37" ht="21" hidden="1" customHeight="1" x14ac:dyDescent="0.25">
      <c r="A107" s="58"/>
      <c r="B107" s="172">
        <v>4</v>
      </c>
      <c r="C107" s="735" t="s">
        <v>125</v>
      </c>
      <c r="D107" s="736"/>
      <c r="E107" s="152">
        <v>0</v>
      </c>
      <c r="F107" s="152" t="s">
        <v>34</v>
      </c>
      <c r="G107" s="153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1:37" ht="21" hidden="1" customHeight="1" x14ac:dyDescent="0.25">
      <c r="A108" s="58"/>
      <c r="B108" s="172">
        <v>5</v>
      </c>
      <c r="C108" s="179" t="s">
        <v>126</v>
      </c>
      <c r="D108" s="180"/>
      <c r="E108" s="152">
        <v>0</v>
      </c>
      <c r="F108" s="152" t="s">
        <v>34</v>
      </c>
      <c r="G108" s="153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</row>
    <row r="109" spans="1:37" ht="21" hidden="1" customHeight="1" x14ac:dyDescent="0.25">
      <c r="A109" s="58"/>
      <c r="B109" s="148">
        <v>8</v>
      </c>
      <c r="C109" s="728" t="s">
        <v>64</v>
      </c>
      <c r="D109" s="729"/>
      <c r="E109" s="149">
        <v>0</v>
      </c>
      <c r="F109" s="149" t="s">
        <v>26</v>
      </c>
      <c r="G109" s="161" t="s">
        <v>65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  <row r="110" spans="1:37" ht="21" hidden="1" customHeight="1" thickBot="1" x14ac:dyDescent="0.3">
      <c r="B110" s="156">
        <v>6</v>
      </c>
      <c r="C110" s="162" t="s">
        <v>84</v>
      </c>
      <c r="D110" s="163"/>
      <c r="E110" s="164">
        <v>0</v>
      </c>
      <c r="F110" s="30" t="s">
        <v>10</v>
      </c>
      <c r="G110" s="165" t="s">
        <v>85</v>
      </c>
      <c r="H110" s="58"/>
      <c r="I110" s="58"/>
      <c r="J110" s="58"/>
      <c r="K110" s="58"/>
      <c r="L110" s="58"/>
      <c r="M110" s="58"/>
      <c r="N110" s="58"/>
      <c r="O110" s="58"/>
    </row>
    <row r="111" spans="1:37" x14ac:dyDescent="0.25">
      <c r="B111" s="58"/>
      <c r="C111" s="58"/>
      <c r="D111" s="72"/>
      <c r="E111" s="76"/>
      <c r="F111" s="76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1:37" x14ac:dyDescent="0.25">
      <c r="B112" s="12"/>
      <c r="C112" s="12"/>
      <c r="D112" s="15"/>
      <c r="E112" s="19"/>
      <c r="F112" s="19"/>
      <c r="G112" s="12"/>
    </row>
    <row r="113" spans="2:7" x14ac:dyDescent="0.25">
      <c r="B113" s="12"/>
      <c r="C113" s="12"/>
      <c r="D113" s="15"/>
      <c r="E113" s="19"/>
      <c r="F113" s="19"/>
      <c r="G113" s="12"/>
    </row>
    <row r="114" spans="2:7" x14ac:dyDescent="0.25">
      <c r="B114" s="12"/>
      <c r="C114" s="12"/>
      <c r="D114" s="15"/>
      <c r="E114" s="19"/>
      <c r="F114" s="19"/>
      <c r="G114" s="12"/>
    </row>
    <row r="115" spans="2:7" x14ac:dyDescent="0.25">
      <c r="B115" s="12"/>
      <c r="C115" s="12"/>
      <c r="D115" s="15"/>
      <c r="E115" s="19"/>
      <c r="F115" s="19"/>
      <c r="G115" s="12"/>
    </row>
    <row r="116" spans="2:7" x14ac:dyDescent="0.25">
      <c r="B116" s="12"/>
      <c r="C116" s="12"/>
      <c r="D116" s="15"/>
      <c r="E116" s="19"/>
      <c r="F116" s="19"/>
      <c r="G116" s="12"/>
    </row>
    <row r="117" spans="2:7" x14ac:dyDescent="0.25">
      <c r="B117" s="12"/>
      <c r="C117" s="12"/>
      <c r="D117" s="15"/>
      <c r="E117" s="19"/>
      <c r="F117" s="19"/>
      <c r="G117" s="12"/>
    </row>
    <row r="118" spans="2:7" x14ac:dyDescent="0.25">
      <c r="B118" s="12"/>
      <c r="C118" s="12"/>
      <c r="D118" s="15"/>
      <c r="E118" s="19"/>
      <c r="F118" s="19"/>
      <c r="G118" s="12"/>
    </row>
    <row r="119" spans="2:7" x14ac:dyDescent="0.25">
      <c r="B119" s="12"/>
      <c r="C119" s="12"/>
      <c r="D119" s="15"/>
      <c r="E119" s="19"/>
      <c r="F119" s="19"/>
      <c r="G119" s="12"/>
    </row>
    <row r="120" spans="2:7" x14ac:dyDescent="0.25">
      <c r="B120" s="12"/>
      <c r="C120" s="12"/>
      <c r="D120" s="15"/>
      <c r="E120" s="19"/>
      <c r="F120" s="19"/>
      <c r="G120" s="12"/>
    </row>
    <row r="121" spans="2:7" x14ac:dyDescent="0.25">
      <c r="B121" s="12"/>
      <c r="C121" s="12"/>
      <c r="D121" s="15"/>
      <c r="E121" s="19"/>
      <c r="F121" s="19"/>
      <c r="G121" s="12"/>
    </row>
    <row r="122" spans="2:7" x14ac:dyDescent="0.25">
      <c r="B122" s="12"/>
      <c r="C122" s="12"/>
      <c r="D122" s="15"/>
      <c r="E122" s="19"/>
      <c r="F122" s="19"/>
      <c r="G122" s="12"/>
    </row>
    <row r="123" spans="2:7" x14ac:dyDescent="0.25">
      <c r="B123" s="12"/>
      <c r="C123" s="12"/>
      <c r="D123" s="15"/>
      <c r="E123" s="19"/>
      <c r="F123" s="19"/>
      <c r="G123" s="12"/>
    </row>
    <row r="124" spans="2:7" x14ac:dyDescent="0.25">
      <c r="B124" s="12"/>
      <c r="C124" s="12"/>
      <c r="D124" s="15"/>
      <c r="E124" s="19"/>
      <c r="F124" s="19"/>
      <c r="G124" s="12"/>
    </row>
    <row r="125" spans="2:7" x14ac:dyDescent="0.25">
      <c r="B125" s="12"/>
      <c r="C125" s="12"/>
      <c r="D125" s="15"/>
      <c r="E125" s="19"/>
      <c r="F125" s="19"/>
      <c r="G125" s="12"/>
    </row>
    <row r="126" spans="2:7" x14ac:dyDescent="0.25">
      <c r="B126" s="12"/>
      <c r="C126" s="12"/>
      <c r="D126" s="15"/>
      <c r="E126" s="19"/>
      <c r="F126" s="19"/>
      <c r="G126" s="12"/>
    </row>
    <row r="127" spans="2:7" x14ac:dyDescent="0.25">
      <c r="B127" s="12"/>
      <c r="C127" s="12"/>
      <c r="D127" s="15"/>
      <c r="E127" s="19"/>
      <c r="F127" s="19"/>
      <c r="G127" s="12"/>
    </row>
    <row r="128" spans="2:7" x14ac:dyDescent="0.25">
      <c r="B128" s="12"/>
      <c r="C128" s="12"/>
      <c r="D128" s="15"/>
      <c r="E128" s="19"/>
      <c r="F128" s="19"/>
      <c r="G128" s="12"/>
    </row>
    <row r="129" spans="2:7" x14ac:dyDescent="0.25">
      <c r="B129" s="12"/>
      <c r="C129" s="12"/>
      <c r="D129" s="15"/>
      <c r="E129" s="19"/>
      <c r="F129" s="19"/>
      <c r="G129" s="12"/>
    </row>
    <row r="130" spans="2:7" x14ac:dyDescent="0.25">
      <c r="B130" s="12"/>
      <c r="C130" s="12"/>
      <c r="D130" s="15"/>
      <c r="E130" s="19"/>
      <c r="F130" s="19"/>
      <c r="G130" s="12"/>
    </row>
    <row r="131" spans="2:7" x14ac:dyDescent="0.25">
      <c r="B131" s="12"/>
      <c r="C131" s="12"/>
      <c r="D131" s="15"/>
      <c r="E131" s="19"/>
      <c r="F131" s="19"/>
      <c r="G131" s="12"/>
    </row>
    <row r="132" spans="2:7" x14ac:dyDescent="0.25">
      <c r="B132" s="12"/>
      <c r="C132" s="12"/>
      <c r="D132" s="15"/>
      <c r="E132" s="19"/>
      <c r="F132" s="19"/>
      <c r="G132" s="12"/>
    </row>
    <row r="133" spans="2:7" x14ac:dyDescent="0.25">
      <c r="B133" s="12"/>
      <c r="C133" s="12"/>
      <c r="D133" s="15"/>
      <c r="E133" s="19"/>
      <c r="F133" s="19"/>
      <c r="G133" s="12"/>
    </row>
    <row r="134" spans="2:7" x14ac:dyDescent="0.25">
      <c r="B134" s="12"/>
      <c r="C134" s="12"/>
      <c r="D134" s="15"/>
      <c r="E134" s="19"/>
      <c r="F134" s="19"/>
      <c r="G134" s="12"/>
    </row>
    <row r="135" spans="2:7" x14ac:dyDescent="0.25">
      <c r="B135" s="12"/>
      <c r="C135" s="12"/>
      <c r="D135" s="15"/>
      <c r="E135" s="19"/>
      <c r="F135" s="19"/>
      <c r="G135" s="12"/>
    </row>
    <row r="136" spans="2:7" x14ac:dyDescent="0.25">
      <c r="B136" s="12"/>
      <c r="C136" s="12"/>
      <c r="D136" s="15"/>
      <c r="E136" s="19"/>
      <c r="F136" s="19"/>
      <c r="G136" s="12"/>
    </row>
    <row r="137" spans="2:7" x14ac:dyDescent="0.25">
      <c r="B137" s="12"/>
      <c r="C137" s="12"/>
      <c r="D137" s="15"/>
      <c r="E137" s="19"/>
      <c r="F137" s="19"/>
      <c r="G137" s="12"/>
    </row>
    <row r="138" spans="2:7" x14ac:dyDescent="0.25">
      <c r="B138" s="12"/>
      <c r="C138" s="12"/>
      <c r="D138" s="15"/>
      <c r="E138" s="19"/>
      <c r="F138" s="19"/>
      <c r="G138" s="12"/>
    </row>
    <row r="139" spans="2:7" x14ac:dyDescent="0.25">
      <c r="B139" s="12"/>
      <c r="C139" s="12"/>
      <c r="D139" s="15"/>
      <c r="E139" s="19"/>
      <c r="F139" s="19"/>
      <c r="G139" s="12"/>
    </row>
    <row r="140" spans="2:7" x14ac:dyDescent="0.25">
      <c r="B140" s="12"/>
      <c r="C140" s="12"/>
      <c r="D140" s="15"/>
      <c r="E140" s="19"/>
      <c r="F140" s="19"/>
      <c r="G140" s="12"/>
    </row>
    <row r="141" spans="2:7" x14ac:dyDescent="0.25">
      <c r="B141" s="12"/>
      <c r="C141" s="12"/>
      <c r="D141" s="15"/>
      <c r="E141" s="19"/>
      <c r="F141" s="19"/>
      <c r="G141" s="12"/>
    </row>
    <row r="142" spans="2:7" x14ac:dyDescent="0.25">
      <c r="B142" s="12"/>
      <c r="C142" s="12"/>
      <c r="D142" s="15"/>
      <c r="E142" s="19"/>
      <c r="F142" s="19"/>
      <c r="G142" s="12"/>
    </row>
    <row r="143" spans="2:7" x14ac:dyDescent="0.25">
      <c r="B143" s="12"/>
      <c r="C143" s="12"/>
      <c r="D143" s="15"/>
      <c r="E143" s="19"/>
      <c r="F143" s="19"/>
      <c r="G143" s="12"/>
    </row>
    <row r="144" spans="2:7" x14ac:dyDescent="0.25">
      <c r="B144" s="12"/>
      <c r="C144" s="12"/>
      <c r="D144" s="15"/>
      <c r="E144" s="19"/>
      <c r="F144" s="19"/>
      <c r="G144" s="12"/>
    </row>
    <row r="145" spans="2:7" x14ac:dyDescent="0.25">
      <c r="B145" s="12"/>
      <c r="C145" s="12"/>
      <c r="D145" s="15"/>
      <c r="E145" s="19"/>
      <c r="F145" s="19"/>
      <c r="G145" s="12"/>
    </row>
    <row r="146" spans="2:7" x14ac:dyDescent="0.25">
      <c r="B146" s="12"/>
      <c r="C146" s="12"/>
      <c r="D146" s="15"/>
      <c r="E146" s="19"/>
      <c r="F146" s="19"/>
      <c r="G146" s="12"/>
    </row>
    <row r="147" spans="2:7" x14ac:dyDescent="0.25">
      <c r="B147" s="12"/>
      <c r="C147" s="12"/>
      <c r="D147" s="15"/>
      <c r="E147" s="19"/>
      <c r="F147" s="19"/>
      <c r="G147" s="12"/>
    </row>
    <row r="148" spans="2:7" x14ac:dyDescent="0.25">
      <c r="B148" s="12"/>
      <c r="C148" s="12"/>
      <c r="D148" s="15"/>
      <c r="E148" s="19"/>
      <c r="F148" s="19"/>
      <c r="G148" s="12"/>
    </row>
    <row r="149" spans="2:7" x14ac:dyDescent="0.25">
      <c r="B149" s="12"/>
      <c r="C149" s="12"/>
      <c r="D149" s="15"/>
      <c r="E149" s="19"/>
      <c r="F149" s="19"/>
      <c r="G149" s="12"/>
    </row>
    <row r="150" spans="2:7" x14ac:dyDescent="0.25">
      <c r="B150" s="12"/>
      <c r="C150" s="12"/>
      <c r="D150" s="15"/>
      <c r="E150" s="19"/>
      <c r="F150" s="19"/>
      <c r="G150" s="12"/>
    </row>
    <row r="151" spans="2:7" x14ac:dyDescent="0.25">
      <c r="B151" s="12"/>
      <c r="C151" s="12"/>
      <c r="D151" s="15"/>
      <c r="E151" s="19"/>
      <c r="F151" s="19"/>
      <c r="G151" s="12"/>
    </row>
    <row r="152" spans="2:7" x14ac:dyDescent="0.25">
      <c r="B152" s="12"/>
      <c r="C152" s="12"/>
      <c r="D152" s="15"/>
      <c r="E152" s="19"/>
      <c r="F152" s="19"/>
      <c r="G152" s="12"/>
    </row>
    <row r="153" spans="2:7" x14ac:dyDescent="0.25">
      <c r="B153" s="12"/>
      <c r="C153" s="12"/>
      <c r="D153" s="15"/>
      <c r="E153" s="19"/>
      <c r="F153" s="19"/>
      <c r="G153" s="12"/>
    </row>
    <row r="154" spans="2:7" x14ac:dyDescent="0.25">
      <c r="B154" s="12"/>
      <c r="C154" s="12"/>
      <c r="D154" s="15"/>
      <c r="E154" s="19"/>
      <c r="F154" s="19"/>
      <c r="G154" s="12"/>
    </row>
    <row r="155" spans="2:7" x14ac:dyDescent="0.25">
      <c r="B155" s="12"/>
      <c r="C155" s="12"/>
      <c r="D155" s="15"/>
      <c r="E155" s="19"/>
      <c r="F155" s="19"/>
      <c r="G155" s="12"/>
    </row>
    <row r="156" spans="2:7" x14ac:dyDescent="0.25">
      <c r="B156" s="12"/>
      <c r="C156" s="12"/>
      <c r="D156" s="15"/>
      <c r="E156" s="19"/>
      <c r="F156" s="19"/>
      <c r="G156" s="12"/>
    </row>
    <row r="157" spans="2:7" x14ac:dyDescent="0.25">
      <c r="B157" s="12"/>
      <c r="C157" s="12"/>
      <c r="D157" s="15"/>
      <c r="E157" s="19"/>
      <c r="F157" s="19"/>
      <c r="G157" s="12"/>
    </row>
    <row r="158" spans="2:7" x14ac:dyDescent="0.25">
      <c r="B158" s="12"/>
      <c r="C158" s="12"/>
      <c r="D158" s="15"/>
      <c r="E158" s="19"/>
      <c r="F158" s="19"/>
      <c r="G158" s="12"/>
    </row>
    <row r="159" spans="2:7" x14ac:dyDescent="0.25">
      <c r="B159" s="12"/>
      <c r="C159" s="12"/>
      <c r="D159" s="15"/>
      <c r="E159" s="19"/>
      <c r="F159" s="19"/>
      <c r="G159" s="12"/>
    </row>
    <row r="160" spans="2:7" x14ac:dyDescent="0.25">
      <c r="B160" s="12"/>
      <c r="C160" s="12"/>
      <c r="D160" s="15"/>
      <c r="E160" s="19"/>
      <c r="F160" s="19"/>
      <c r="G160" s="12"/>
    </row>
    <row r="161" spans="2:7" x14ac:dyDescent="0.25">
      <c r="B161" s="12"/>
      <c r="C161" s="12"/>
      <c r="D161" s="15"/>
      <c r="E161" s="19"/>
      <c r="F161" s="19"/>
      <c r="G161" s="12"/>
    </row>
    <row r="162" spans="2:7" x14ac:dyDescent="0.25">
      <c r="B162" s="12"/>
      <c r="C162" s="12"/>
      <c r="D162" s="15"/>
      <c r="E162" s="19"/>
      <c r="F162" s="19"/>
      <c r="G162" s="12"/>
    </row>
    <row r="163" spans="2:7" x14ac:dyDescent="0.25">
      <c r="B163" s="12"/>
      <c r="C163" s="12"/>
      <c r="D163" s="15"/>
      <c r="E163" s="19"/>
      <c r="F163" s="19"/>
      <c r="G163" s="12"/>
    </row>
    <row r="164" spans="2:7" x14ac:dyDescent="0.25">
      <c r="B164" s="12"/>
      <c r="C164" s="12"/>
      <c r="D164" s="15"/>
      <c r="E164" s="19"/>
      <c r="F164" s="19"/>
      <c r="G164" s="12"/>
    </row>
    <row r="165" spans="2:7" x14ac:dyDescent="0.25">
      <c r="B165" s="12"/>
      <c r="C165" s="12"/>
      <c r="D165" s="15"/>
      <c r="E165" s="19"/>
      <c r="F165" s="19"/>
      <c r="G165" s="12"/>
    </row>
    <row r="166" spans="2:7" x14ac:dyDescent="0.25">
      <c r="B166" s="12"/>
      <c r="C166" s="12"/>
      <c r="D166" s="15"/>
      <c r="E166" s="19"/>
      <c r="F166" s="19"/>
      <c r="G166" s="12"/>
    </row>
    <row r="167" spans="2:7" x14ac:dyDescent="0.25">
      <c r="B167" s="12"/>
      <c r="C167" s="12"/>
      <c r="D167" s="15"/>
      <c r="E167" s="19"/>
      <c r="F167" s="19"/>
      <c r="G167" s="12"/>
    </row>
    <row r="168" spans="2:7" x14ac:dyDescent="0.25">
      <c r="B168" s="12"/>
      <c r="C168" s="12"/>
      <c r="D168" s="15"/>
      <c r="E168" s="19"/>
      <c r="F168" s="19"/>
      <c r="G168" s="12"/>
    </row>
    <row r="169" spans="2:7" x14ac:dyDescent="0.25">
      <c r="B169" s="12"/>
      <c r="C169" s="12"/>
      <c r="D169" s="15"/>
      <c r="E169" s="19"/>
      <c r="F169" s="19"/>
      <c r="G169" s="12"/>
    </row>
    <row r="170" spans="2:7" x14ac:dyDescent="0.25">
      <c r="B170" s="12"/>
      <c r="C170" s="12"/>
      <c r="D170" s="15"/>
      <c r="E170" s="19"/>
      <c r="F170" s="19"/>
      <c r="G170" s="12"/>
    </row>
    <row r="171" spans="2:7" x14ac:dyDescent="0.25">
      <c r="B171" s="12"/>
      <c r="C171" s="12"/>
      <c r="D171" s="15"/>
      <c r="E171" s="19"/>
      <c r="F171" s="19"/>
      <c r="G171" s="12"/>
    </row>
    <row r="172" spans="2:7" x14ac:dyDescent="0.25">
      <c r="B172" s="12"/>
      <c r="C172" s="12"/>
      <c r="D172" s="15"/>
      <c r="E172" s="19"/>
      <c r="F172" s="19"/>
      <c r="G172" s="12"/>
    </row>
    <row r="173" spans="2:7" x14ac:dyDescent="0.25">
      <c r="B173" s="12"/>
      <c r="C173" s="12"/>
      <c r="D173" s="15"/>
      <c r="E173" s="19"/>
      <c r="F173" s="19"/>
      <c r="G173" s="12"/>
    </row>
    <row r="174" spans="2:7" x14ac:dyDescent="0.25">
      <c r="B174" s="12"/>
      <c r="C174" s="12"/>
      <c r="D174" s="15"/>
      <c r="E174" s="19"/>
      <c r="F174" s="19"/>
      <c r="G174" s="12"/>
    </row>
    <row r="175" spans="2:7" x14ac:dyDescent="0.25">
      <c r="B175" s="12"/>
      <c r="C175" s="12"/>
      <c r="D175" s="15"/>
      <c r="E175" s="19"/>
      <c r="F175" s="19"/>
      <c r="G175" s="12"/>
    </row>
    <row r="176" spans="2:7" x14ac:dyDescent="0.25">
      <c r="B176" s="12"/>
      <c r="C176" s="12"/>
      <c r="D176" s="15"/>
      <c r="E176" s="19"/>
      <c r="F176" s="19"/>
      <c r="G176" s="12"/>
    </row>
    <row r="177" spans="2:7" x14ac:dyDescent="0.25">
      <c r="B177" s="12"/>
      <c r="C177" s="12"/>
      <c r="D177" s="15"/>
      <c r="E177" s="19"/>
      <c r="F177" s="19"/>
      <c r="G177" s="12"/>
    </row>
    <row r="178" spans="2:7" x14ac:dyDescent="0.25">
      <c r="B178" s="12"/>
      <c r="C178" s="12"/>
      <c r="D178" s="15"/>
      <c r="E178" s="19"/>
      <c r="F178" s="19"/>
      <c r="G178" s="12"/>
    </row>
    <row r="179" spans="2:7" x14ac:dyDescent="0.25">
      <c r="B179" s="12"/>
      <c r="C179" s="12"/>
      <c r="D179" s="15"/>
      <c r="E179" s="19"/>
      <c r="F179" s="19"/>
      <c r="G179" s="12"/>
    </row>
    <row r="180" spans="2:7" x14ac:dyDescent="0.25">
      <c r="B180" s="12"/>
      <c r="C180" s="12"/>
      <c r="D180" s="15"/>
      <c r="E180" s="19"/>
      <c r="F180" s="19"/>
      <c r="G180" s="12"/>
    </row>
    <row r="181" spans="2:7" x14ac:dyDescent="0.25">
      <c r="B181" s="12"/>
      <c r="C181" s="12"/>
      <c r="D181" s="15"/>
      <c r="E181" s="19"/>
      <c r="F181" s="19"/>
      <c r="G181" s="12"/>
    </row>
    <row r="182" spans="2:7" x14ac:dyDescent="0.25">
      <c r="B182" s="12"/>
      <c r="C182" s="12"/>
      <c r="D182" s="15"/>
      <c r="E182" s="19"/>
      <c r="F182" s="19"/>
      <c r="G182" s="12"/>
    </row>
    <row r="183" spans="2:7" x14ac:dyDescent="0.25">
      <c r="B183" s="12"/>
      <c r="C183" s="12"/>
      <c r="D183" s="15"/>
      <c r="E183" s="19"/>
      <c r="F183" s="19"/>
      <c r="G183" s="12"/>
    </row>
    <row r="184" spans="2:7" x14ac:dyDescent="0.25">
      <c r="B184" s="12"/>
      <c r="C184" s="12"/>
      <c r="D184" s="15"/>
      <c r="E184" s="19"/>
      <c r="F184" s="19"/>
      <c r="G184" s="12"/>
    </row>
    <row r="185" spans="2:7" x14ac:dyDescent="0.25">
      <c r="B185" s="12"/>
      <c r="C185" s="12"/>
      <c r="D185" s="15"/>
      <c r="E185" s="19"/>
      <c r="F185" s="19"/>
      <c r="G185" s="12"/>
    </row>
    <row r="186" spans="2:7" x14ac:dyDescent="0.25">
      <c r="B186" s="12"/>
      <c r="C186" s="12"/>
      <c r="D186" s="15"/>
      <c r="E186" s="19"/>
      <c r="F186" s="19"/>
      <c r="G186" s="12"/>
    </row>
    <row r="187" spans="2:7" x14ac:dyDescent="0.25">
      <c r="B187" s="12"/>
      <c r="C187" s="12"/>
      <c r="D187" s="15"/>
      <c r="E187" s="19"/>
      <c r="F187" s="19"/>
      <c r="G187" s="12"/>
    </row>
    <row r="188" spans="2:7" x14ac:dyDescent="0.25">
      <c r="B188" s="12"/>
      <c r="C188" s="12"/>
      <c r="D188" s="15"/>
      <c r="E188" s="19"/>
      <c r="F188" s="19"/>
      <c r="G188" s="12"/>
    </row>
    <row r="189" spans="2:7" x14ac:dyDescent="0.25">
      <c r="B189" s="12"/>
      <c r="C189" s="12"/>
      <c r="D189" s="15"/>
      <c r="E189" s="19"/>
      <c r="F189" s="19"/>
      <c r="G189" s="12"/>
    </row>
    <row r="190" spans="2:7" x14ac:dyDescent="0.25">
      <c r="B190" s="12"/>
      <c r="C190" s="12"/>
      <c r="D190" s="15"/>
      <c r="E190" s="19"/>
      <c r="F190" s="19"/>
      <c r="G190" s="12"/>
    </row>
    <row r="191" spans="2:7" x14ac:dyDescent="0.25">
      <c r="B191" s="12"/>
      <c r="C191" s="12"/>
      <c r="D191" s="15"/>
      <c r="E191" s="19"/>
      <c r="F191" s="19"/>
      <c r="G191" s="12"/>
    </row>
    <row r="192" spans="2:7" x14ac:dyDescent="0.25">
      <c r="B192" s="12"/>
      <c r="C192" s="12"/>
      <c r="D192" s="15"/>
      <c r="E192" s="19"/>
      <c r="F192" s="19"/>
      <c r="G192" s="12"/>
    </row>
    <row r="193" spans="2:7" x14ac:dyDescent="0.25">
      <c r="B193" s="12"/>
      <c r="C193" s="12"/>
      <c r="D193" s="15"/>
      <c r="E193" s="19"/>
      <c r="F193" s="19"/>
      <c r="G193" s="12"/>
    </row>
    <row r="194" spans="2:7" x14ac:dyDescent="0.25">
      <c r="B194" s="12"/>
      <c r="C194" s="12"/>
      <c r="D194" s="15"/>
      <c r="E194" s="19"/>
      <c r="F194" s="19"/>
      <c r="G194" s="12"/>
    </row>
    <row r="195" spans="2:7" x14ac:dyDescent="0.25">
      <c r="B195" s="12"/>
      <c r="C195" s="12"/>
      <c r="D195" s="15"/>
      <c r="E195" s="19"/>
      <c r="F195" s="19"/>
      <c r="G195" s="12"/>
    </row>
    <row r="196" spans="2:7" x14ac:dyDescent="0.25">
      <c r="B196" s="12"/>
      <c r="C196" s="12"/>
      <c r="D196" s="15"/>
      <c r="E196" s="19"/>
      <c r="F196" s="19"/>
      <c r="G196" s="12"/>
    </row>
    <row r="197" spans="2:7" x14ac:dyDescent="0.25">
      <c r="B197" s="12"/>
      <c r="C197" s="12"/>
      <c r="D197" s="15"/>
      <c r="E197" s="19"/>
      <c r="F197" s="19"/>
      <c r="G197" s="12"/>
    </row>
    <row r="198" spans="2:7" x14ac:dyDescent="0.25">
      <c r="B198" s="12"/>
      <c r="C198" s="12"/>
      <c r="D198" s="15"/>
      <c r="E198" s="19"/>
      <c r="F198" s="19"/>
      <c r="G198" s="12"/>
    </row>
    <row r="199" spans="2:7" x14ac:dyDescent="0.25">
      <c r="B199" s="12"/>
      <c r="C199" s="12"/>
      <c r="D199" s="15"/>
      <c r="E199" s="19"/>
      <c r="F199" s="19"/>
      <c r="G199" s="12"/>
    </row>
    <row r="200" spans="2:7" x14ac:dyDescent="0.25">
      <c r="B200" s="12"/>
      <c r="C200" s="12"/>
      <c r="D200" s="15"/>
      <c r="E200" s="19"/>
      <c r="F200" s="19"/>
      <c r="G200" s="12"/>
    </row>
    <row r="201" spans="2:7" x14ac:dyDescent="0.25">
      <c r="B201" s="12"/>
      <c r="C201" s="12"/>
      <c r="D201" s="15"/>
      <c r="E201" s="19"/>
      <c r="F201" s="19"/>
      <c r="G201" s="12"/>
    </row>
    <row r="202" spans="2:7" x14ac:dyDescent="0.25">
      <c r="B202" s="12"/>
      <c r="C202" s="12"/>
      <c r="D202" s="15"/>
      <c r="E202" s="19"/>
      <c r="F202" s="19"/>
      <c r="G202" s="12"/>
    </row>
    <row r="203" spans="2:7" x14ac:dyDescent="0.25">
      <c r="B203" s="12"/>
      <c r="C203" s="12"/>
      <c r="D203" s="15"/>
      <c r="E203" s="19"/>
      <c r="F203" s="19"/>
      <c r="G203" s="12"/>
    </row>
    <row r="204" spans="2:7" x14ac:dyDescent="0.25">
      <c r="B204" s="12"/>
      <c r="C204" s="12"/>
      <c r="D204" s="15"/>
      <c r="E204" s="19"/>
      <c r="F204" s="19"/>
      <c r="G204" s="12"/>
    </row>
    <row r="205" spans="2:7" x14ac:dyDescent="0.25">
      <c r="B205" s="12"/>
      <c r="C205" s="12"/>
      <c r="D205" s="15"/>
      <c r="E205" s="19"/>
      <c r="F205" s="19"/>
      <c r="G205" s="12"/>
    </row>
    <row r="206" spans="2:7" x14ac:dyDescent="0.25">
      <c r="B206" s="12"/>
      <c r="C206" s="12"/>
      <c r="D206" s="15"/>
      <c r="E206" s="19"/>
      <c r="F206" s="19"/>
      <c r="G206" s="12"/>
    </row>
    <row r="207" spans="2:7" x14ac:dyDescent="0.25">
      <c r="B207" s="12"/>
      <c r="C207" s="12"/>
      <c r="D207" s="15"/>
      <c r="E207" s="19"/>
      <c r="F207" s="19"/>
      <c r="G207" s="12"/>
    </row>
    <row r="208" spans="2:7" x14ac:dyDescent="0.25">
      <c r="B208" s="12"/>
      <c r="C208" s="12"/>
      <c r="D208" s="15"/>
      <c r="E208" s="19"/>
      <c r="F208" s="19"/>
      <c r="G208" s="12"/>
    </row>
    <row r="209" spans="2:7" x14ac:dyDescent="0.25">
      <c r="B209" s="12"/>
      <c r="C209" s="12"/>
      <c r="D209" s="15"/>
      <c r="E209" s="19"/>
      <c r="F209" s="19"/>
      <c r="G209" s="12"/>
    </row>
    <row r="210" spans="2:7" x14ac:dyDescent="0.25">
      <c r="B210" s="12"/>
      <c r="C210" s="12"/>
      <c r="D210" s="15"/>
      <c r="E210" s="19"/>
      <c r="F210" s="19"/>
      <c r="G210" s="12"/>
    </row>
    <row r="211" spans="2:7" x14ac:dyDescent="0.25">
      <c r="B211" s="12"/>
      <c r="C211" s="12"/>
      <c r="D211" s="15"/>
      <c r="E211" s="19"/>
      <c r="F211" s="19"/>
      <c r="G211" s="12"/>
    </row>
    <row r="212" spans="2:7" x14ac:dyDescent="0.25">
      <c r="B212" s="12"/>
      <c r="C212" s="12"/>
      <c r="D212" s="15"/>
      <c r="E212" s="19"/>
      <c r="F212" s="19"/>
      <c r="G212" s="12"/>
    </row>
    <row r="213" spans="2:7" x14ac:dyDescent="0.25">
      <c r="B213" s="12"/>
      <c r="C213" s="12"/>
      <c r="D213" s="15"/>
      <c r="E213" s="19"/>
      <c r="F213" s="19"/>
      <c r="G213" s="12"/>
    </row>
    <row r="214" spans="2:7" x14ac:dyDescent="0.25">
      <c r="B214" s="12"/>
      <c r="C214" s="12"/>
      <c r="D214" s="15"/>
      <c r="E214" s="19"/>
      <c r="F214" s="19"/>
      <c r="G214" s="12"/>
    </row>
    <row r="215" spans="2:7" x14ac:dyDescent="0.25">
      <c r="B215" s="12"/>
      <c r="C215" s="12"/>
      <c r="D215" s="15"/>
      <c r="E215" s="19"/>
      <c r="F215" s="19"/>
      <c r="G215" s="12"/>
    </row>
    <row r="216" spans="2:7" x14ac:dyDescent="0.25">
      <c r="B216" s="12"/>
      <c r="C216" s="12"/>
      <c r="D216" s="15"/>
      <c r="E216" s="19"/>
      <c r="F216" s="19"/>
      <c r="G216" s="12"/>
    </row>
    <row r="217" spans="2:7" x14ac:dyDescent="0.25">
      <c r="B217" s="12"/>
      <c r="C217" s="12"/>
      <c r="D217" s="15"/>
      <c r="E217" s="19"/>
      <c r="F217" s="19"/>
      <c r="G217" s="12"/>
    </row>
    <row r="218" spans="2:7" x14ac:dyDescent="0.25">
      <c r="B218" s="12"/>
      <c r="C218" s="12"/>
      <c r="D218" s="15"/>
      <c r="E218" s="19"/>
      <c r="F218" s="19"/>
      <c r="G218" s="12"/>
    </row>
    <row r="219" spans="2:7" x14ac:dyDescent="0.25">
      <c r="B219" s="12"/>
      <c r="C219" s="12"/>
      <c r="D219" s="15"/>
      <c r="E219" s="19"/>
      <c r="F219" s="19"/>
      <c r="G219" s="12"/>
    </row>
    <row r="220" spans="2:7" x14ac:dyDescent="0.25">
      <c r="B220" s="12"/>
      <c r="C220" s="12"/>
      <c r="D220" s="15"/>
      <c r="E220" s="19"/>
      <c r="F220" s="19"/>
      <c r="G220" s="12"/>
    </row>
    <row r="221" spans="2:7" x14ac:dyDescent="0.25">
      <c r="B221" s="12"/>
      <c r="C221" s="12"/>
      <c r="D221" s="15"/>
      <c r="E221" s="19"/>
      <c r="F221" s="19"/>
      <c r="G221" s="12"/>
    </row>
    <row r="222" spans="2:7" x14ac:dyDescent="0.25">
      <c r="B222" s="12"/>
      <c r="C222" s="12"/>
      <c r="D222" s="15"/>
      <c r="E222" s="19"/>
      <c r="F222" s="19"/>
      <c r="G222" s="12"/>
    </row>
    <row r="223" spans="2:7" x14ac:dyDescent="0.25">
      <c r="B223" s="12"/>
      <c r="C223" s="12"/>
      <c r="D223" s="15"/>
      <c r="E223" s="19"/>
      <c r="F223" s="19"/>
      <c r="G223" s="12"/>
    </row>
    <row r="224" spans="2:7" x14ac:dyDescent="0.25">
      <c r="B224" s="12"/>
      <c r="C224" s="12"/>
      <c r="D224" s="15"/>
      <c r="E224" s="19"/>
      <c r="F224" s="19"/>
      <c r="G224" s="12"/>
    </row>
    <row r="225" spans="2:7" x14ac:dyDescent="0.25">
      <c r="B225" s="12"/>
      <c r="C225" s="12"/>
      <c r="D225" s="15"/>
      <c r="E225" s="19"/>
      <c r="F225" s="19"/>
      <c r="G225" s="12"/>
    </row>
    <row r="226" spans="2:7" x14ac:dyDescent="0.25">
      <c r="B226" s="12"/>
      <c r="C226" s="12"/>
      <c r="D226" s="15"/>
      <c r="E226" s="19"/>
      <c r="F226" s="19"/>
      <c r="G226" s="12"/>
    </row>
    <row r="227" spans="2:7" x14ac:dyDescent="0.25">
      <c r="B227" s="12"/>
      <c r="C227" s="12"/>
      <c r="D227" s="15"/>
      <c r="E227" s="19"/>
      <c r="F227" s="19"/>
      <c r="G227" s="12"/>
    </row>
    <row r="228" spans="2:7" x14ac:dyDescent="0.25">
      <c r="B228" s="12"/>
      <c r="C228" s="12"/>
      <c r="D228" s="15"/>
      <c r="E228" s="19"/>
      <c r="F228" s="19"/>
      <c r="G228" s="12"/>
    </row>
    <row r="229" spans="2:7" x14ac:dyDescent="0.25">
      <c r="B229" s="12"/>
      <c r="C229" s="12"/>
      <c r="D229" s="15"/>
      <c r="E229" s="19"/>
      <c r="F229" s="19"/>
      <c r="G229" s="12"/>
    </row>
    <row r="230" spans="2:7" x14ac:dyDescent="0.25">
      <c r="B230" s="12"/>
      <c r="C230" s="12"/>
      <c r="D230" s="15"/>
      <c r="E230" s="19"/>
      <c r="F230" s="19"/>
      <c r="G230" s="12"/>
    </row>
    <row r="231" spans="2:7" x14ac:dyDescent="0.25">
      <c r="B231" s="12"/>
      <c r="C231" s="12"/>
      <c r="D231" s="15"/>
      <c r="E231" s="19"/>
      <c r="F231" s="19"/>
      <c r="G231" s="12"/>
    </row>
    <row r="232" spans="2:7" x14ac:dyDescent="0.25">
      <c r="B232" s="12"/>
      <c r="C232" s="12"/>
      <c r="D232" s="15"/>
      <c r="E232" s="19"/>
      <c r="F232" s="19"/>
      <c r="G232" s="12"/>
    </row>
    <row r="233" spans="2:7" x14ac:dyDescent="0.25">
      <c r="B233" s="12"/>
      <c r="C233" s="12"/>
      <c r="D233" s="15"/>
      <c r="E233" s="19"/>
      <c r="F233" s="19"/>
      <c r="G233" s="12"/>
    </row>
    <row r="234" spans="2:7" x14ac:dyDescent="0.25">
      <c r="B234" s="12"/>
      <c r="C234" s="12"/>
      <c r="D234" s="15"/>
      <c r="E234" s="19"/>
      <c r="F234" s="19"/>
      <c r="G234" s="12"/>
    </row>
    <row r="235" spans="2:7" x14ac:dyDescent="0.25">
      <c r="B235" s="12"/>
      <c r="C235" s="12"/>
      <c r="D235" s="15"/>
      <c r="E235" s="19"/>
      <c r="F235" s="19"/>
      <c r="G235" s="12"/>
    </row>
    <row r="236" spans="2:7" x14ac:dyDescent="0.25">
      <c r="B236" s="12"/>
      <c r="C236" s="12"/>
      <c r="D236" s="15"/>
      <c r="E236" s="19"/>
      <c r="F236" s="19"/>
      <c r="G236" s="12"/>
    </row>
    <row r="237" spans="2:7" x14ac:dyDescent="0.25">
      <c r="B237" s="12"/>
      <c r="C237" s="12"/>
      <c r="D237" s="15"/>
      <c r="E237" s="19"/>
      <c r="F237" s="19"/>
      <c r="G237" s="12"/>
    </row>
    <row r="238" spans="2:7" x14ac:dyDescent="0.25">
      <c r="B238" s="12"/>
      <c r="C238" s="12"/>
      <c r="D238" s="15"/>
      <c r="E238" s="19"/>
      <c r="F238" s="19"/>
      <c r="G238" s="12"/>
    </row>
    <row r="239" spans="2:7" x14ac:dyDescent="0.25">
      <c r="B239" s="12"/>
      <c r="C239" s="12"/>
      <c r="D239" s="15"/>
      <c r="E239" s="19"/>
      <c r="F239" s="19"/>
      <c r="G239" s="12"/>
    </row>
    <row r="240" spans="2:7" x14ac:dyDescent="0.25">
      <c r="B240" s="12"/>
      <c r="C240" s="12"/>
      <c r="D240" s="15"/>
      <c r="E240" s="19"/>
      <c r="F240" s="19"/>
      <c r="G240" s="12"/>
    </row>
    <row r="241" spans="2:7" x14ac:dyDescent="0.25">
      <c r="B241" s="12"/>
      <c r="C241" s="12"/>
      <c r="D241" s="15"/>
      <c r="E241" s="19"/>
      <c r="F241" s="19"/>
      <c r="G241" s="12"/>
    </row>
    <row r="242" spans="2:7" x14ac:dyDescent="0.25">
      <c r="B242" s="12"/>
      <c r="C242" s="12"/>
      <c r="D242" s="15"/>
      <c r="E242" s="19"/>
      <c r="F242" s="19"/>
      <c r="G242" s="12"/>
    </row>
    <row r="243" spans="2:7" x14ac:dyDescent="0.25">
      <c r="B243" s="12"/>
      <c r="C243" s="12"/>
      <c r="D243" s="15"/>
      <c r="E243" s="19"/>
      <c r="F243" s="19"/>
      <c r="G243" s="12"/>
    </row>
    <row r="244" spans="2:7" x14ac:dyDescent="0.25">
      <c r="B244" s="12"/>
      <c r="C244" s="12"/>
      <c r="D244" s="15"/>
      <c r="E244" s="19"/>
      <c r="F244" s="19"/>
      <c r="G244" s="12"/>
    </row>
    <row r="245" spans="2:7" x14ac:dyDescent="0.25">
      <c r="B245" s="12"/>
      <c r="C245" s="12"/>
      <c r="D245" s="15"/>
      <c r="E245" s="19"/>
      <c r="F245" s="19"/>
      <c r="G245" s="12"/>
    </row>
    <row r="246" spans="2:7" x14ac:dyDescent="0.25">
      <c r="B246" s="12"/>
      <c r="C246" s="12"/>
      <c r="D246" s="15"/>
      <c r="E246" s="19"/>
      <c r="F246" s="19"/>
      <c r="G246" s="12"/>
    </row>
    <row r="247" spans="2:7" x14ac:dyDescent="0.25">
      <c r="B247" s="12"/>
      <c r="C247" s="12"/>
      <c r="D247" s="15"/>
      <c r="E247" s="19"/>
      <c r="F247" s="19"/>
      <c r="G247" s="12"/>
    </row>
    <row r="248" spans="2:7" x14ac:dyDescent="0.25">
      <c r="B248" s="12"/>
      <c r="C248" s="12"/>
      <c r="D248" s="15"/>
      <c r="E248" s="19"/>
      <c r="F248" s="19"/>
      <c r="G248" s="12"/>
    </row>
    <row r="249" spans="2:7" x14ac:dyDescent="0.25">
      <c r="B249" s="12"/>
      <c r="C249" s="12"/>
      <c r="D249" s="15"/>
      <c r="E249" s="19"/>
      <c r="F249" s="19"/>
      <c r="G249" s="12"/>
    </row>
    <row r="250" spans="2:7" x14ac:dyDescent="0.25">
      <c r="B250" s="12"/>
      <c r="C250" s="12"/>
      <c r="D250" s="15"/>
      <c r="E250" s="19"/>
      <c r="F250" s="19"/>
      <c r="G250" s="12"/>
    </row>
    <row r="251" spans="2:7" x14ac:dyDescent="0.25">
      <c r="B251" s="12"/>
      <c r="C251" s="12"/>
      <c r="D251" s="15"/>
      <c r="E251" s="19"/>
      <c r="F251" s="19"/>
      <c r="G251" s="12"/>
    </row>
    <row r="252" spans="2:7" x14ac:dyDescent="0.25">
      <c r="B252" s="12"/>
      <c r="C252" s="12"/>
      <c r="D252" s="15"/>
      <c r="E252" s="19"/>
      <c r="F252" s="19"/>
      <c r="G252" s="12"/>
    </row>
    <row r="253" spans="2:7" x14ac:dyDescent="0.25">
      <c r="B253" s="12"/>
      <c r="C253" s="12"/>
      <c r="D253" s="15"/>
      <c r="E253" s="19"/>
      <c r="F253" s="19"/>
      <c r="G253" s="12"/>
    </row>
    <row r="254" spans="2:7" x14ac:dyDescent="0.25">
      <c r="B254" s="12"/>
      <c r="C254" s="12"/>
      <c r="D254" s="15"/>
      <c r="E254" s="19"/>
      <c r="F254" s="19"/>
      <c r="G254" s="12"/>
    </row>
    <row r="255" spans="2:7" x14ac:dyDescent="0.25">
      <c r="B255" s="12"/>
      <c r="C255" s="12"/>
      <c r="D255" s="15"/>
      <c r="E255" s="19"/>
      <c r="F255" s="19"/>
      <c r="G255" s="12"/>
    </row>
    <row r="256" spans="2:7" x14ac:dyDescent="0.25">
      <c r="B256" s="12"/>
      <c r="C256" s="12"/>
      <c r="D256" s="15"/>
      <c r="E256" s="19"/>
      <c r="F256" s="19"/>
      <c r="G256" s="12"/>
    </row>
    <row r="257" spans="2:7" x14ac:dyDescent="0.25">
      <c r="B257" s="12"/>
      <c r="C257" s="12"/>
      <c r="D257" s="15"/>
      <c r="E257" s="19"/>
      <c r="F257" s="19"/>
      <c r="G257" s="12"/>
    </row>
    <row r="258" spans="2:7" x14ac:dyDescent="0.25">
      <c r="B258" s="12"/>
      <c r="C258" s="12"/>
      <c r="D258" s="15"/>
      <c r="E258" s="19"/>
      <c r="F258" s="19"/>
      <c r="G258" s="12"/>
    </row>
    <row r="259" spans="2:7" x14ac:dyDescent="0.25">
      <c r="B259" s="12"/>
      <c r="C259" s="12"/>
      <c r="D259" s="15"/>
      <c r="E259" s="19"/>
      <c r="F259" s="19"/>
      <c r="G259" s="12"/>
    </row>
    <row r="260" spans="2:7" x14ac:dyDescent="0.25">
      <c r="B260" s="12"/>
      <c r="C260" s="12"/>
      <c r="D260" s="15"/>
      <c r="E260" s="19"/>
      <c r="F260" s="19"/>
      <c r="G260" s="12"/>
    </row>
    <row r="261" spans="2:7" x14ac:dyDescent="0.25">
      <c r="B261" s="12"/>
      <c r="C261" s="12"/>
      <c r="D261" s="15"/>
      <c r="E261" s="19"/>
      <c r="F261" s="19"/>
      <c r="G261" s="12"/>
    </row>
    <row r="262" spans="2:7" x14ac:dyDescent="0.25">
      <c r="B262" s="12"/>
      <c r="C262" s="12"/>
      <c r="D262" s="15"/>
      <c r="E262" s="19"/>
      <c r="F262" s="19"/>
      <c r="G262" s="12"/>
    </row>
    <row r="263" spans="2:7" x14ac:dyDescent="0.25">
      <c r="B263" s="12"/>
      <c r="C263" s="12"/>
      <c r="D263" s="15"/>
      <c r="E263" s="19"/>
      <c r="F263" s="19"/>
      <c r="G263" s="12"/>
    </row>
    <row r="264" spans="2:7" x14ac:dyDescent="0.25">
      <c r="B264" s="12"/>
      <c r="C264" s="12"/>
      <c r="D264" s="15"/>
      <c r="E264" s="19"/>
      <c r="F264" s="19"/>
      <c r="G264" s="12"/>
    </row>
    <row r="265" spans="2:7" x14ac:dyDescent="0.25">
      <c r="B265" s="12"/>
      <c r="C265" s="12"/>
      <c r="D265" s="15"/>
      <c r="E265" s="19"/>
      <c r="F265" s="19"/>
      <c r="G265" s="12"/>
    </row>
    <row r="266" spans="2:7" x14ac:dyDescent="0.25">
      <c r="B266" s="12"/>
      <c r="C266" s="12"/>
      <c r="D266" s="15"/>
      <c r="E266" s="19"/>
      <c r="F266" s="19"/>
      <c r="G266" s="12"/>
    </row>
    <row r="267" spans="2:7" x14ac:dyDescent="0.25">
      <c r="B267" s="12"/>
      <c r="C267" s="12"/>
      <c r="D267" s="15"/>
      <c r="E267" s="19"/>
      <c r="F267" s="19"/>
      <c r="G267" s="12"/>
    </row>
    <row r="268" spans="2:7" x14ac:dyDescent="0.25">
      <c r="B268" s="12"/>
      <c r="C268" s="12"/>
      <c r="D268" s="15"/>
      <c r="E268" s="19"/>
      <c r="F268" s="19"/>
      <c r="G268" s="12"/>
    </row>
    <row r="269" spans="2:7" x14ac:dyDescent="0.25">
      <c r="B269" s="12"/>
      <c r="C269" s="12"/>
      <c r="D269" s="15"/>
      <c r="E269" s="19"/>
      <c r="F269" s="19"/>
      <c r="G269" s="12"/>
    </row>
    <row r="270" spans="2:7" x14ac:dyDescent="0.25">
      <c r="B270" s="12"/>
      <c r="C270" s="12"/>
      <c r="D270" s="15"/>
      <c r="E270" s="19"/>
      <c r="F270" s="19"/>
      <c r="G270" s="12"/>
    </row>
    <row r="271" spans="2:7" x14ac:dyDescent="0.25">
      <c r="B271" s="12"/>
      <c r="C271" s="12"/>
      <c r="D271" s="15"/>
      <c r="E271" s="19"/>
      <c r="F271" s="19"/>
      <c r="G271" s="12"/>
    </row>
    <row r="272" spans="2:7" x14ac:dyDescent="0.25">
      <c r="B272" s="12"/>
      <c r="C272" s="12"/>
      <c r="D272" s="15"/>
      <c r="E272" s="19"/>
      <c r="F272" s="19"/>
      <c r="G272" s="12"/>
    </row>
    <row r="273" spans="2:7" x14ac:dyDescent="0.25">
      <c r="B273" s="12"/>
      <c r="C273" s="12"/>
      <c r="D273" s="15"/>
      <c r="E273" s="19"/>
      <c r="F273" s="19"/>
      <c r="G273" s="12"/>
    </row>
    <row r="274" spans="2:7" x14ac:dyDescent="0.25">
      <c r="B274" s="12"/>
      <c r="C274" s="12"/>
      <c r="D274" s="15"/>
      <c r="E274" s="19"/>
      <c r="F274" s="19"/>
      <c r="G274" s="12"/>
    </row>
    <row r="275" spans="2:7" x14ac:dyDescent="0.25">
      <c r="B275" s="12"/>
      <c r="C275" s="12"/>
      <c r="D275" s="15"/>
      <c r="E275" s="19"/>
      <c r="F275" s="19"/>
      <c r="G275" s="12"/>
    </row>
    <row r="276" spans="2:7" x14ac:dyDescent="0.25">
      <c r="B276" s="12"/>
      <c r="C276" s="12"/>
      <c r="D276" s="15"/>
      <c r="E276" s="19"/>
      <c r="F276" s="19"/>
      <c r="G276" s="12"/>
    </row>
    <row r="277" spans="2:7" x14ac:dyDescent="0.25">
      <c r="B277" s="12"/>
      <c r="C277" s="12"/>
      <c r="D277" s="15"/>
      <c r="E277" s="19"/>
      <c r="F277" s="19"/>
      <c r="G277" s="12"/>
    </row>
    <row r="278" spans="2:7" x14ac:dyDescent="0.25">
      <c r="B278" s="12"/>
      <c r="C278" s="12"/>
      <c r="D278" s="15"/>
      <c r="E278" s="19"/>
      <c r="F278" s="19"/>
      <c r="G278" s="12"/>
    </row>
    <row r="279" spans="2:7" x14ac:dyDescent="0.25">
      <c r="B279" s="12"/>
      <c r="C279" s="12"/>
      <c r="D279" s="15"/>
      <c r="E279" s="19"/>
      <c r="F279" s="19"/>
      <c r="G279" s="12"/>
    </row>
    <row r="280" spans="2:7" x14ac:dyDescent="0.25">
      <c r="B280" s="12"/>
      <c r="C280" s="12"/>
      <c r="D280" s="15"/>
      <c r="E280" s="19"/>
      <c r="F280" s="19"/>
      <c r="G280" s="12"/>
    </row>
    <row r="281" spans="2:7" x14ac:dyDescent="0.25">
      <c r="B281" s="12"/>
      <c r="C281" s="12"/>
      <c r="D281" s="15"/>
      <c r="E281" s="19"/>
      <c r="F281" s="19"/>
      <c r="G281" s="12"/>
    </row>
    <row r="282" spans="2:7" x14ac:dyDescent="0.25">
      <c r="B282" s="12"/>
      <c r="C282" s="12"/>
      <c r="D282" s="15"/>
      <c r="E282" s="19"/>
      <c r="F282" s="19"/>
      <c r="G282" s="12"/>
    </row>
    <row r="283" spans="2:7" x14ac:dyDescent="0.25">
      <c r="B283" s="12"/>
      <c r="C283" s="12"/>
      <c r="D283" s="15"/>
      <c r="E283" s="19"/>
      <c r="F283" s="19"/>
      <c r="G283" s="12"/>
    </row>
    <row r="284" spans="2:7" x14ac:dyDescent="0.25">
      <c r="B284" s="12"/>
      <c r="C284" s="12"/>
      <c r="D284" s="15"/>
      <c r="E284" s="19"/>
      <c r="F284" s="19"/>
      <c r="G284" s="12"/>
    </row>
    <row r="285" spans="2:7" x14ac:dyDescent="0.25">
      <c r="B285" s="12"/>
      <c r="C285" s="12"/>
      <c r="D285" s="15"/>
      <c r="E285" s="19"/>
      <c r="F285" s="19"/>
      <c r="G285" s="12"/>
    </row>
    <row r="286" spans="2:7" x14ac:dyDescent="0.25">
      <c r="B286" s="12"/>
      <c r="C286" s="12"/>
      <c r="D286" s="15"/>
      <c r="E286" s="19"/>
      <c r="F286" s="19"/>
      <c r="G286" s="12"/>
    </row>
    <row r="287" spans="2:7" x14ac:dyDescent="0.25">
      <c r="B287" s="12"/>
      <c r="C287" s="12"/>
      <c r="D287" s="15"/>
      <c r="E287" s="19"/>
      <c r="F287" s="19"/>
      <c r="G287" s="12"/>
    </row>
    <row r="288" spans="2:7" x14ac:dyDescent="0.25">
      <c r="B288" s="12"/>
      <c r="C288" s="12"/>
      <c r="D288" s="15"/>
      <c r="E288" s="19"/>
      <c r="F288" s="19"/>
      <c r="G288" s="12"/>
    </row>
    <row r="289" spans="2:7" x14ac:dyDescent="0.25">
      <c r="B289" s="12"/>
      <c r="C289" s="12"/>
      <c r="D289" s="15"/>
      <c r="E289" s="19"/>
      <c r="F289" s="19"/>
      <c r="G289" s="12"/>
    </row>
    <row r="290" spans="2:7" x14ac:dyDescent="0.25">
      <c r="B290" s="12"/>
      <c r="C290" s="12"/>
      <c r="D290" s="15"/>
      <c r="E290" s="19"/>
      <c r="F290" s="19"/>
      <c r="G290" s="12"/>
    </row>
    <row r="291" spans="2:7" x14ac:dyDescent="0.25">
      <c r="B291" s="12"/>
      <c r="C291" s="12"/>
      <c r="D291" s="15"/>
      <c r="E291" s="19"/>
      <c r="F291" s="19"/>
      <c r="G291" s="12"/>
    </row>
    <row r="292" spans="2:7" x14ac:dyDescent="0.25">
      <c r="B292" s="12"/>
      <c r="C292" s="12"/>
      <c r="D292" s="15"/>
      <c r="E292" s="19"/>
      <c r="F292" s="19"/>
      <c r="G292" s="12"/>
    </row>
    <row r="293" spans="2:7" x14ac:dyDescent="0.25">
      <c r="B293" s="12"/>
      <c r="C293" s="12"/>
      <c r="D293" s="15"/>
      <c r="E293" s="19"/>
      <c r="F293" s="19"/>
      <c r="G293" s="12"/>
    </row>
    <row r="294" spans="2:7" x14ac:dyDescent="0.25">
      <c r="B294" s="12"/>
      <c r="C294" s="12"/>
      <c r="D294" s="15"/>
      <c r="E294" s="19"/>
      <c r="F294" s="19"/>
      <c r="G294" s="12"/>
    </row>
    <row r="295" spans="2:7" x14ac:dyDescent="0.25">
      <c r="B295" s="12"/>
      <c r="C295" s="12"/>
      <c r="D295" s="15"/>
      <c r="E295" s="19"/>
      <c r="F295" s="19"/>
      <c r="G295" s="12"/>
    </row>
    <row r="296" spans="2:7" x14ac:dyDescent="0.25">
      <c r="B296" s="12"/>
      <c r="C296" s="12"/>
      <c r="D296" s="15"/>
      <c r="E296" s="19"/>
      <c r="F296" s="19"/>
      <c r="G296" s="12"/>
    </row>
    <row r="297" spans="2:7" x14ac:dyDescent="0.25">
      <c r="B297" s="12"/>
      <c r="C297" s="12"/>
      <c r="D297" s="15"/>
      <c r="E297" s="19"/>
      <c r="F297" s="19"/>
      <c r="G297" s="12"/>
    </row>
    <row r="298" spans="2:7" x14ac:dyDescent="0.25">
      <c r="B298" s="12"/>
      <c r="C298" s="12"/>
      <c r="D298" s="15"/>
      <c r="E298" s="19"/>
      <c r="F298" s="19"/>
      <c r="G298" s="12"/>
    </row>
    <row r="299" spans="2:7" x14ac:dyDescent="0.25">
      <c r="B299" s="12"/>
      <c r="C299" s="12"/>
      <c r="D299" s="15"/>
      <c r="E299" s="19"/>
      <c r="F299" s="19"/>
      <c r="G299" s="12"/>
    </row>
    <row r="300" spans="2:7" x14ac:dyDescent="0.25">
      <c r="B300" s="12"/>
      <c r="C300" s="12"/>
      <c r="D300" s="15"/>
      <c r="E300" s="19"/>
      <c r="F300" s="19"/>
      <c r="G300" s="12"/>
    </row>
    <row r="301" spans="2:7" x14ac:dyDescent="0.25">
      <c r="B301" s="12"/>
      <c r="C301" s="12"/>
      <c r="D301" s="15"/>
      <c r="E301" s="19"/>
      <c r="F301" s="19"/>
      <c r="G301" s="12"/>
    </row>
    <row r="302" spans="2:7" x14ac:dyDescent="0.25">
      <c r="B302" s="12"/>
      <c r="C302" s="12"/>
      <c r="D302" s="15"/>
      <c r="E302" s="19"/>
      <c r="F302" s="19"/>
      <c r="G302" s="12"/>
    </row>
    <row r="303" spans="2:7" x14ac:dyDescent="0.25">
      <c r="B303" s="12"/>
      <c r="C303" s="12"/>
      <c r="D303" s="15"/>
      <c r="E303" s="19"/>
      <c r="F303" s="19"/>
      <c r="G303" s="12"/>
    </row>
    <row r="304" spans="2:7" x14ac:dyDescent="0.25">
      <c r="B304" s="12"/>
      <c r="C304" s="12"/>
      <c r="D304" s="15"/>
      <c r="E304" s="19"/>
      <c r="F304" s="19"/>
      <c r="G304" s="12"/>
    </row>
    <row r="305" spans="2:7" x14ac:dyDescent="0.25">
      <c r="B305" s="12"/>
      <c r="C305" s="12"/>
      <c r="D305" s="15"/>
      <c r="E305" s="19"/>
      <c r="F305" s="19"/>
      <c r="G305" s="12"/>
    </row>
    <row r="306" spans="2:7" x14ac:dyDescent="0.25">
      <c r="B306" s="12"/>
      <c r="C306" s="12"/>
      <c r="D306" s="15"/>
      <c r="E306" s="19"/>
      <c r="F306" s="19"/>
      <c r="G306" s="12"/>
    </row>
    <row r="307" spans="2:7" x14ac:dyDescent="0.25">
      <c r="B307" s="12"/>
      <c r="C307" s="12"/>
      <c r="D307" s="15"/>
      <c r="E307" s="19"/>
      <c r="F307" s="19"/>
      <c r="G307" s="12"/>
    </row>
    <row r="308" spans="2:7" x14ac:dyDescent="0.25">
      <c r="B308" s="12"/>
      <c r="C308" s="12"/>
      <c r="D308" s="15"/>
      <c r="E308" s="19"/>
      <c r="F308" s="19"/>
      <c r="G308" s="12"/>
    </row>
    <row r="309" spans="2:7" x14ac:dyDescent="0.25">
      <c r="B309" s="12"/>
      <c r="C309" s="12"/>
      <c r="D309" s="15"/>
      <c r="E309" s="19"/>
      <c r="F309" s="19"/>
      <c r="G309" s="12"/>
    </row>
    <row r="310" spans="2:7" x14ac:dyDescent="0.25">
      <c r="B310" s="12"/>
      <c r="C310" s="12"/>
      <c r="D310" s="15"/>
      <c r="E310" s="19"/>
      <c r="F310" s="19"/>
      <c r="G310" s="12"/>
    </row>
    <row r="311" spans="2:7" x14ac:dyDescent="0.25">
      <c r="B311" s="12"/>
      <c r="C311" s="12"/>
      <c r="D311" s="15"/>
      <c r="E311" s="19"/>
      <c r="F311" s="19"/>
      <c r="G311" s="12"/>
    </row>
    <row r="312" spans="2:7" x14ac:dyDescent="0.25">
      <c r="B312" s="12"/>
      <c r="C312" s="12"/>
      <c r="D312" s="15"/>
      <c r="E312" s="19"/>
      <c r="F312" s="19"/>
      <c r="G312" s="12"/>
    </row>
    <row r="313" spans="2:7" x14ac:dyDescent="0.25">
      <c r="B313" s="12"/>
      <c r="C313" s="12"/>
      <c r="D313" s="15"/>
      <c r="E313" s="19"/>
      <c r="F313" s="19"/>
      <c r="G313" s="12"/>
    </row>
    <row r="314" spans="2:7" x14ac:dyDescent="0.25">
      <c r="B314" s="12"/>
      <c r="C314" s="12"/>
      <c r="D314" s="15"/>
      <c r="E314" s="19"/>
      <c r="F314" s="19"/>
      <c r="G314" s="12"/>
    </row>
    <row r="315" spans="2:7" x14ac:dyDescent="0.25">
      <c r="B315" s="12"/>
      <c r="C315" s="12"/>
      <c r="D315" s="15"/>
      <c r="E315" s="19"/>
      <c r="F315" s="19"/>
      <c r="G315" s="12"/>
    </row>
    <row r="316" spans="2:7" x14ac:dyDescent="0.25">
      <c r="B316" s="12"/>
      <c r="C316" s="12"/>
      <c r="D316" s="15"/>
      <c r="E316" s="19"/>
      <c r="F316" s="19"/>
      <c r="G316" s="12"/>
    </row>
    <row r="317" spans="2:7" x14ac:dyDescent="0.25">
      <c r="B317" s="12"/>
      <c r="C317" s="12"/>
      <c r="D317" s="15"/>
      <c r="E317" s="19"/>
      <c r="F317" s="19"/>
      <c r="G317" s="12"/>
    </row>
    <row r="318" spans="2:7" x14ac:dyDescent="0.25">
      <c r="B318" s="12"/>
      <c r="C318" s="12"/>
      <c r="D318" s="15"/>
      <c r="E318" s="19"/>
      <c r="F318" s="19"/>
      <c r="G318" s="12"/>
    </row>
    <row r="319" spans="2:7" x14ac:dyDescent="0.25">
      <c r="B319" s="12"/>
      <c r="C319" s="12"/>
      <c r="D319" s="15"/>
      <c r="E319" s="19"/>
      <c r="F319" s="19"/>
      <c r="G319" s="12"/>
    </row>
    <row r="320" spans="2:7" x14ac:dyDescent="0.25">
      <c r="B320" s="12"/>
      <c r="C320" s="12"/>
      <c r="D320" s="15"/>
      <c r="E320" s="19"/>
      <c r="F320" s="19"/>
      <c r="G320" s="12"/>
    </row>
    <row r="321" spans="2:7" x14ac:dyDescent="0.25">
      <c r="B321" s="12"/>
      <c r="C321" s="12"/>
      <c r="D321" s="15"/>
      <c r="E321" s="19"/>
      <c r="F321" s="19"/>
      <c r="G321" s="12"/>
    </row>
    <row r="322" spans="2:7" x14ac:dyDescent="0.25">
      <c r="B322" s="12"/>
      <c r="C322" s="12"/>
      <c r="D322" s="15"/>
      <c r="E322" s="19"/>
      <c r="F322" s="19"/>
      <c r="G322" s="12"/>
    </row>
    <row r="323" spans="2:7" x14ac:dyDescent="0.25">
      <c r="B323" s="12"/>
      <c r="C323" s="12"/>
      <c r="D323" s="15"/>
      <c r="E323" s="19"/>
      <c r="F323" s="19"/>
      <c r="G323" s="12"/>
    </row>
    <row r="324" spans="2:7" x14ac:dyDescent="0.25">
      <c r="B324" s="12"/>
      <c r="C324" s="12"/>
      <c r="D324" s="15"/>
      <c r="E324" s="19"/>
      <c r="F324" s="19"/>
      <c r="G324" s="12"/>
    </row>
    <row r="325" spans="2:7" x14ac:dyDescent="0.25">
      <c r="B325" s="12"/>
      <c r="C325" s="12"/>
      <c r="D325" s="15"/>
      <c r="E325" s="19"/>
      <c r="F325" s="19"/>
      <c r="G325" s="12"/>
    </row>
    <row r="326" spans="2:7" x14ac:dyDescent="0.25">
      <c r="B326" s="12"/>
      <c r="C326" s="12"/>
      <c r="D326" s="15"/>
      <c r="E326" s="19"/>
      <c r="F326" s="19"/>
      <c r="G326" s="12"/>
    </row>
    <row r="327" spans="2:7" x14ac:dyDescent="0.25">
      <c r="B327" s="12"/>
      <c r="C327" s="12"/>
      <c r="D327" s="15"/>
      <c r="E327" s="19"/>
      <c r="F327" s="19"/>
      <c r="G327" s="12"/>
    </row>
    <row r="328" spans="2:7" x14ac:dyDescent="0.25">
      <c r="B328" s="12"/>
      <c r="C328" s="12"/>
      <c r="D328" s="15"/>
      <c r="E328" s="19"/>
      <c r="F328" s="19"/>
      <c r="G328" s="12"/>
    </row>
    <row r="329" spans="2:7" x14ac:dyDescent="0.25">
      <c r="B329" s="12"/>
      <c r="C329" s="12"/>
      <c r="D329" s="15"/>
      <c r="E329" s="19"/>
      <c r="F329" s="19"/>
      <c r="G329" s="12"/>
    </row>
    <row r="330" spans="2:7" x14ac:dyDescent="0.25">
      <c r="B330" s="12"/>
      <c r="C330" s="12"/>
      <c r="D330" s="15"/>
      <c r="E330" s="19"/>
      <c r="F330" s="19"/>
      <c r="G330" s="12"/>
    </row>
    <row r="331" spans="2:7" x14ac:dyDescent="0.25">
      <c r="B331" s="12"/>
      <c r="C331" s="12"/>
      <c r="D331" s="15"/>
      <c r="E331" s="19"/>
      <c r="F331" s="19"/>
      <c r="G331" s="12"/>
    </row>
    <row r="332" spans="2:7" x14ac:dyDescent="0.25">
      <c r="B332" s="12"/>
      <c r="C332" s="12"/>
      <c r="D332" s="15"/>
      <c r="E332" s="19"/>
      <c r="F332" s="19"/>
      <c r="G332" s="12"/>
    </row>
    <row r="333" spans="2:7" x14ac:dyDescent="0.25">
      <c r="B333" s="12"/>
      <c r="C333" s="12"/>
      <c r="D333" s="15"/>
      <c r="E333" s="19"/>
      <c r="F333" s="19"/>
      <c r="G333" s="12"/>
    </row>
    <row r="334" spans="2:7" x14ac:dyDescent="0.25">
      <c r="B334" s="12"/>
      <c r="C334" s="12"/>
      <c r="D334" s="15"/>
      <c r="E334" s="19"/>
      <c r="F334" s="19"/>
      <c r="G334" s="12"/>
    </row>
    <row r="335" spans="2:7" x14ac:dyDescent="0.25">
      <c r="B335" s="12"/>
      <c r="C335" s="12"/>
      <c r="D335" s="15"/>
      <c r="E335" s="19"/>
      <c r="F335" s="19"/>
      <c r="G335" s="12"/>
    </row>
    <row r="336" spans="2:7" x14ac:dyDescent="0.25">
      <c r="B336" s="12"/>
      <c r="C336" s="12"/>
      <c r="D336" s="15"/>
      <c r="E336" s="19"/>
      <c r="F336" s="19"/>
      <c r="G336" s="12"/>
    </row>
    <row r="337" spans="2:7" x14ac:dyDescent="0.25">
      <c r="B337" s="12"/>
      <c r="C337" s="12"/>
      <c r="D337" s="15"/>
      <c r="E337" s="19"/>
      <c r="F337" s="19"/>
      <c r="G337" s="12"/>
    </row>
    <row r="338" spans="2:7" x14ac:dyDescent="0.25">
      <c r="B338" s="12"/>
      <c r="C338" s="12"/>
      <c r="D338" s="15"/>
      <c r="E338" s="19"/>
      <c r="F338" s="19"/>
      <c r="G338" s="12"/>
    </row>
    <row r="339" spans="2:7" x14ac:dyDescent="0.25">
      <c r="B339" s="12"/>
      <c r="C339" s="12"/>
      <c r="D339" s="15"/>
      <c r="E339" s="19"/>
      <c r="F339" s="19"/>
      <c r="G339" s="12"/>
    </row>
    <row r="340" spans="2:7" x14ac:dyDescent="0.25">
      <c r="B340" s="12"/>
      <c r="C340" s="12"/>
      <c r="D340" s="15"/>
      <c r="E340" s="19"/>
      <c r="F340" s="19"/>
      <c r="G340" s="12"/>
    </row>
    <row r="341" spans="2:7" x14ac:dyDescent="0.25">
      <c r="B341" s="12"/>
      <c r="C341" s="12"/>
      <c r="D341" s="15"/>
      <c r="E341" s="19"/>
      <c r="F341" s="19"/>
      <c r="G341" s="12"/>
    </row>
    <row r="342" spans="2:7" x14ac:dyDescent="0.25">
      <c r="B342" s="12"/>
      <c r="C342" s="12"/>
      <c r="D342" s="15"/>
      <c r="E342" s="19"/>
      <c r="F342" s="19"/>
      <c r="G342" s="12"/>
    </row>
    <row r="343" spans="2:7" x14ac:dyDescent="0.25">
      <c r="B343" s="12"/>
      <c r="C343" s="12"/>
      <c r="D343" s="15"/>
      <c r="E343" s="19"/>
      <c r="F343" s="19"/>
      <c r="G343" s="12"/>
    </row>
    <row r="344" spans="2:7" x14ac:dyDescent="0.25">
      <c r="B344" s="12"/>
      <c r="C344" s="12"/>
      <c r="D344" s="15"/>
      <c r="E344" s="19"/>
      <c r="F344" s="19"/>
      <c r="G344" s="12"/>
    </row>
    <row r="345" spans="2:7" x14ac:dyDescent="0.25">
      <c r="B345" s="12"/>
      <c r="C345" s="12"/>
      <c r="D345" s="15"/>
      <c r="E345" s="19"/>
      <c r="F345" s="19"/>
      <c r="G345" s="12"/>
    </row>
    <row r="346" spans="2:7" x14ac:dyDescent="0.25">
      <c r="B346" s="12"/>
      <c r="C346" s="12"/>
      <c r="D346" s="15"/>
      <c r="E346" s="19"/>
      <c r="F346" s="19"/>
      <c r="G346" s="12"/>
    </row>
    <row r="347" spans="2:7" x14ac:dyDescent="0.25">
      <c r="B347" s="12"/>
      <c r="C347" s="12"/>
      <c r="D347" s="15"/>
      <c r="E347" s="19"/>
      <c r="F347" s="19"/>
      <c r="G347" s="12"/>
    </row>
    <row r="348" spans="2:7" x14ac:dyDescent="0.25">
      <c r="B348" s="12"/>
      <c r="C348" s="12"/>
      <c r="D348" s="15"/>
      <c r="E348" s="19"/>
      <c r="F348" s="19"/>
      <c r="G348" s="12"/>
    </row>
    <row r="349" spans="2:7" x14ac:dyDescent="0.25">
      <c r="B349" s="12"/>
      <c r="C349" s="12"/>
      <c r="D349" s="15"/>
      <c r="E349" s="19"/>
      <c r="F349" s="19"/>
      <c r="G349" s="12"/>
    </row>
    <row r="350" spans="2:7" x14ac:dyDescent="0.25">
      <c r="B350" s="12"/>
      <c r="C350" s="12"/>
      <c r="D350" s="15"/>
      <c r="E350" s="19"/>
      <c r="F350" s="19"/>
      <c r="G350" s="12"/>
    </row>
    <row r="351" spans="2:7" x14ac:dyDescent="0.25">
      <c r="B351" s="12"/>
      <c r="C351" s="12"/>
      <c r="D351" s="15"/>
      <c r="E351" s="19"/>
      <c r="F351" s="19"/>
      <c r="G351" s="12"/>
    </row>
    <row r="352" spans="2:7" x14ac:dyDescent="0.25">
      <c r="B352" s="12"/>
      <c r="C352" s="12"/>
      <c r="D352" s="15"/>
      <c r="E352" s="19"/>
      <c r="F352" s="19"/>
      <c r="G352" s="12"/>
    </row>
    <row r="353" spans="2:7" x14ac:dyDescent="0.25">
      <c r="B353" s="12"/>
      <c r="C353" s="12"/>
      <c r="D353" s="15"/>
      <c r="E353" s="19"/>
      <c r="F353" s="19"/>
      <c r="G353" s="12"/>
    </row>
    <row r="354" spans="2:7" x14ac:dyDescent="0.25">
      <c r="B354" s="12"/>
      <c r="C354" s="12"/>
      <c r="D354" s="15"/>
      <c r="E354" s="19"/>
      <c r="F354" s="19"/>
      <c r="G354" s="12"/>
    </row>
    <row r="355" spans="2:7" x14ac:dyDescent="0.25">
      <c r="B355" s="12"/>
      <c r="C355" s="12"/>
      <c r="D355" s="15"/>
      <c r="E355" s="19"/>
      <c r="F355" s="19"/>
      <c r="G355" s="12"/>
    </row>
    <row r="356" spans="2:7" x14ac:dyDescent="0.25">
      <c r="B356" s="12"/>
      <c r="C356" s="12"/>
      <c r="D356" s="15"/>
      <c r="E356" s="19"/>
      <c r="F356" s="19"/>
      <c r="G356" s="12"/>
    </row>
    <row r="357" spans="2:7" x14ac:dyDescent="0.25">
      <c r="B357" s="12"/>
      <c r="C357" s="12"/>
      <c r="D357" s="15"/>
      <c r="E357" s="19"/>
      <c r="F357" s="19"/>
      <c r="G357" s="12"/>
    </row>
    <row r="358" spans="2:7" x14ac:dyDescent="0.25">
      <c r="B358" s="12"/>
      <c r="C358" s="12"/>
      <c r="D358" s="15"/>
      <c r="E358" s="19"/>
      <c r="F358" s="19"/>
      <c r="G358" s="12"/>
    </row>
    <row r="359" spans="2:7" x14ac:dyDescent="0.25">
      <c r="B359" s="12"/>
      <c r="C359" s="12"/>
      <c r="D359" s="15"/>
      <c r="E359" s="19"/>
      <c r="F359" s="19"/>
      <c r="G359" s="12"/>
    </row>
    <row r="360" spans="2:7" x14ac:dyDescent="0.25">
      <c r="B360" s="12"/>
      <c r="C360" s="12"/>
      <c r="D360" s="15"/>
      <c r="E360" s="19"/>
      <c r="F360" s="19"/>
      <c r="G360" s="12"/>
    </row>
    <row r="361" spans="2:7" x14ac:dyDescent="0.25">
      <c r="B361" s="12"/>
      <c r="C361" s="12"/>
      <c r="D361" s="15"/>
      <c r="E361" s="19"/>
      <c r="F361" s="19"/>
      <c r="G361" s="12"/>
    </row>
    <row r="362" spans="2:7" x14ac:dyDescent="0.25">
      <c r="B362" s="12"/>
      <c r="C362" s="12"/>
      <c r="D362" s="15"/>
      <c r="E362" s="19"/>
      <c r="F362" s="19"/>
      <c r="G362" s="12"/>
    </row>
    <row r="363" spans="2:7" x14ac:dyDescent="0.25">
      <c r="B363" s="12"/>
      <c r="C363" s="12"/>
      <c r="D363" s="15"/>
      <c r="E363" s="19"/>
      <c r="F363" s="19"/>
      <c r="G363" s="12"/>
    </row>
    <row r="364" spans="2:7" x14ac:dyDescent="0.25">
      <c r="B364" s="12"/>
      <c r="C364" s="12"/>
      <c r="D364" s="15"/>
      <c r="E364" s="19"/>
      <c r="F364" s="19"/>
      <c r="G364" s="12"/>
    </row>
    <row r="365" spans="2:7" x14ac:dyDescent="0.25">
      <c r="B365" s="12"/>
      <c r="C365" s="12"/>
      <c r="D365" s="15"/>
      <c r="E365" s="19"/>
      <c r="F365" s="19"/>
      <c r="G365" s="12"/>
    </row>
    <row r="366" spans="2:7" x14ac:dyDescent="0.25">
      <c r="B366" s="12"/>
      <c r="C366" s="12"/>
      <c r="D366" s="15"/>
      <c r="E366" s="19"/>
      <c r="F366" s="19"/>
      <c r="G366" s="12"/>
    </row>
    <row r="367" spans="2:7" x14ac:dyDescent="0.25">
      <c r="B367" s="12"/>
      <c r="C367" s="12"/>
      <c r="D367" s="15"/>
      <c r="E367" s="19"/>
      <c r="F367" s="19"/>
      <c r="G367" s="12"/>
    </row>
    <row r="368" spans="2:7" x14ac:dyDescent="0.25">
      <c r="B368" s="12"/>
      <c r="C368" s="12"/>
      <c r="D368" s="15"/>
      <c r="E368" s="19"/>
      <c r="F368" s="19"/>
      <c r="G368" s="12"/>
    </row>
    <row r="369" spans="2:7" x14ac:dyDescent="0.25">
      <c r="B369" s="12"/>
      <c r="C369" s="12"/>
      <c r="D369" s="15"/>
      <c r="E369" s="19"/>
      <c r="F369" s="19"/>
      <c r="G369" s="12"/>
    </row>
    <row r="370" spans="2:7" x14ac:dyDescent="0.25">
      <c r="B370" s="12"/>
      <c r="C370" s="12"/>
      <c r="D370" s="15"/>
      <c r="E370" s="19"/>
      <c r="F370" s="19"/>
      <c r="G370" s="12"/>
    </row>
    <row r="371" spans="2:7" x14ac:dyDescent="0.25">
      <c r="B371" s="12"/>
      <c r="C371" s="12"/>
      <c r="D371" s="15"/>
      <c r="E371" s="19"/>
      <c r="F371" s="19"/>
      <c r="G371" s="12"/>
    </row>
    <row r="372" spans="2:7" x14ac:dyDescent="0.25">
      <c r="B372" s="12"/>
      <c r="C372" s="12"/>
      <c r="D372" s="15"/>
      <c r="E372" s="19"/>
      <c r="F372" s="19"/>
      <c r="G372" s="12"/>
    </row>
    <row r="373" spans="2:7" x14ac:dyDescent="0.25">
      <c r="B373" s="12"/>
      <c r="C373" s="12"/>
      <c r="D373" s="15"/>
      <c r="E373" s="19"/>
      <c r="F373" s="19"/>
      <c r="G373" s="12"/>
    </row>
    <row r="374" spans="2:7" x14ac:dyDescent="0.25">
      <c r="B374" s="12"/>
      <c r="C374" s="12"/>
      <c r="D374" s="15"/>
      <c r="E374" s="19"/>
      <c r="F374" s="19"/>
      <c r="G374" s="12"/>
    </row>
    <row r="375" spans="2:7" x14ac:dyDescent="0.25">
      <c r="B375" s="12"/>
      <c r="C375" s="12"/>
      <c r="D375" s="15"/>
      <c r="E375" s="19"/>
      <c r="F375" s="19"/>
      <c r="G375" s="12"/>
    </row>
    <row r="376" spans="2:7" x14ac:dyDescent="0.25">
      <c r="B376" s="12"/>
      <c r="C376" s="12"/>
      <c r="D376" s="15"/>
      <c r="E376" s="19"/>
      <c r="F376" s="19"/>
      <c r="G376" s="12"/>
    </row>
    <row r="377" spans="2:7" x14ac:dyDescent="0.25">
      <c r="B377" s="12"/>
      <c r="C377" s="12"/>
      <c r="D377" s="15"/>
      <c r="E377" s="19"/>
      <c r="F377" s="19"/>
      <c r="G377" s="12"/>
    </row>
    <row r="378" spans="2:7" x14ac:dyDescent="0.25">
      <c r="B378" s="12"/>
      <c r="C378" s="12"/>
      <c r="D378" s="15"/>
      <c r="E378" s="19"/>
      <c r="F378" s="19"/>
      <c r="G378" s="12"/>
    </row>
    <row r="379" spans="2:7" x14ac:dyDescent="0.25">
      <c r="B379" s="12"/>
      <c r="C379" s="12"/>
      <c r="D379" s="15"/>
      <c r="E379" s="19"/>
      <c r="F379" s="19"/>
      <c r="G379" s="12"/>
    </row>
    <row r="380" spans="2:7" x14ac:dyDescent="0.25">
      <c r="B380" s="12"/>
      <c r="C380" s="12"/>
      <c r="D380" s="15"/>
      <c r="E380" s="19"/>
      <c r="F380" s="19"/>
      <c r="G380" s="12"/>
    </row>
    <row r="381" spans="2:7" x14ac:dyDescent="0.25">
      <c r="B381" s="12"/>
      <c r="C381" s="12"/>
      <c r="D381" s="15"/>
      <c r="E381" s="19"/>
      <c r="F381" s="19"/>
      <c r="G381" s="12"/>
    </row>
    <row r="382" spans="2:7" x14ac:dyDescent="0.25">
      <c r="B382" s="12"/>
      <c r="C382" s="12"/>
      <c r="D382" s="15"/>
      <c r="E382" s="19"/>
      <c r="F382" s="19"/>
      <c r="G382" s="12"/>
    </row>
    <row r="383" spans="2:7" x14ac:dyDescent="0.25">
      <c r="B383" s="12"/>
      <c r="C383" s="12"/>
      <c r="D383" s="15"/>
      <c r="E383" s="19"/>
      <c r="F383" s="19"/>
      <c r="G383" s="12"/>
    </row>
    <row r="384" spans="2:7" x14ac:dyDescent="0.25">
      <c r="B384" s="12"/>
      <c r="C384" s="12"/>
      <c r="D384" s="15"/>
      <c r="E384" s="19"/>
      <c r="F384" s="19"/>
      <c r="G384" s="12"/>
    </row>
    <row r="385" spans="2:7" x14ac:dyDescent="0.25">
      <c r="B385" s="12"/>
      <c r="C385" s="12"/>
      <c r="D385" s="15"/>
      <c r="E385" s="19"/>
      <c r="F385" s="19"/>
      <c r="G385" s="12"/>
    </row>
    <row r="386" spans="2:7" x14ac:dyDescent="0.25">
      <c r="B386" s="12"/>
      <c r="C386" s="12"/>
      <c r="D386" s="15"/>
      <c r="E386" s="19"/>
      <c r="F386" s="19"/>
      <c r="G386" s="12"/>
    </row>
    <row r="387" spans="2:7" x14ac:dyDescent="0.25">
      <c r="B387" s="12"/>
      <c r="C387" s="12"/>
      <c r="D387" s="15"/>
      <c r="E387" s="19"/>
      <c r="F387" s="19"/>
      <c r="G387" s="12"/>
    </row>
    <row r="388" spans="2:7" x14ac:dyDescent="0.25">
      <c r="B388" s="12"/>
      <c r="C388" s="12"/>
      <c r="D388" s="15"/>
      <c r="E388" s="19"/>
      <c r="F388" s="19"/>
      <c r="G388" s="12"/>
    </row>
    <row r="389" spans="2:7" x14ac:dyDescent="0.25">
      <c r="B389" s="12"/>
      <c r="C389" s="12"/>
      <c r="D389" s="15"/>
      <c r="E389" s="19"/>
      <c r="F389" s="19"/>
      <c r="G389" s="12"/>
    </row>
    <row r="390" spans="2:7" x14ac:dyDescent="0.25">
      <c r="B390" s="12"/>
      <c r="C390" s="12"/>
      <c r="D390" s="15"/>
      <c r="E390" s="19"/>
      <c r="F390" s="19"/>
      <c r="G390" s="12"/>
    </row>
    <row r="391" spans="2:7" x14ac:dyDescent="0.25">
      <c r="B391" s="12"/>
      <c r="C391" s="12"/>
      <c r="D391" s="15"/>
      <c r="E391" s="19"/>
      <c r="F391" s="19"/>
      <c r="G391" s="12"/>
    </row>
    <row r="392" spans="2:7" x14ac:dyDescent="0.25">
      <c r="B392" s="12"/>
      <c r="C392" s="12"/>
      <c r="D392" s="15"/>
      <c r="E392" s="19"/>
      <c r="F392" s="19"/>
      <c r="G392" s="12"/>
    </row>
    <row r="393" spans="2:7" x14ac:dyDescent="0.25">
      <c r="B393" s="12"/>
      <c r="C393" s="12"/>
      <c r="D393" s="15"/>
      <c r="E393" s="19"/>
      <c r="F393" s="19"/>
      <c r="G393" s="12"/>
    </row>
    <row r="394" spans="2:7" x14ac:dyDescent="0.25">
      <c r="B394" s="12"/>
      <c r="C394" s="12"/>
      <c r="D394" s="15"/>
      <c r="E394" s="19"/>
      <c r="F394" s="19"/>
      <c r="G394" s="12"/>
    </row>
    <row r="395" spans="2:7" x14ac:dyDescent="0.25">
      <c r="B395" s="12"/>
      <c r="C395" s="12"/>
      <c r="D395" s="15"/>
      <c r="E395" s="19"/>
      <c r="F395" s="19"/>
      <c r="G395" s="12"/>
    </row>
    <row r="396" spans="2:7" x14ac:dyDescent="0.25">
      <c r="B396" s="12"/>
      <c r="C396" s="12"/>
      <c r="D396" s="15"/>
      <c r="E396" s="19"/>
      <c r="F396" s="19"/>
      <c r="G396" s="12"/>
    </row>
    <row r="397" spans="2:7" x14ac:dyDescent="0.25">
      <c r="B397" s="12"/>
      <c r="C397" s="12"/>
      <c r="D397" s="15"/>
      <c r="E397" s="19"/>
      <c r="F397" s="19"/>
      <c r="G397" s="12"/>
    </row>
    <row r="398" spans="2:7" x14ac:dyDescent="0.25">
      <c r="B398" s="12"/>
      <c r="C398" s="12"/>
      <c r="D398" s="15"/>
      <c r="E398" s="19"/>
      <c r="F398" s="19"/>
      <c r="G398" s="12"/>
    </row>
    <row r="399" spans="2:7" x14ac:dyDescent="0.25">
      <c r="B399" s="12"/>
      <c r="C399" s="12"/>
      <c r="D399" s="15"/>
      <c r="E399" s="19"/>
      <c r="F399" s="19"/>
      <c r="G399" s="12"/>
    </row>
    <row r="400" spans="2:7" x14ac:dyDescent="0.25">
      <c r="B400" s="12"/>
      <c r="C400" s="12"/>
      <c r="D400" s="15"/>
      <c r="E400" s="19"/>
      <c r="F400" s="19"/>
      <c r="G400" s="12"/>
    </row>
    <row r="401" spans="2:7" x14ac:dyDescent="0.25">
      <c r="B401" s="12"/>
      <c r="C401" s="12"/>
      <c r="D401" s="15"/>
      <c r="E401" s="19"/>
      <c r="F401" s="19"/>
      <c r="G401" s="12"/>
    </row>
    <row r="402" spans="2:7" x14ac:dyDescent="0.25">
      <c r="B402" s="12"/>
      <c r="C402" s="12"/>
      <c r="D402" s="15"/>
      <c r="E402" s="19"/>
      <c r="F402" s="19"/>
      <c r="G402" s="12"/>
    </row>
    <row r="403" spans="2:7" x14ac:dyDescent="0.25">
      <c r="B403" s="12"/>
      <c r="C403" s="12"/>
      <c r="D403" s="15"/>
      <c r="E403" s="19"/>
      <c r="F403" s="19"/>
      <c r="G403" s="12"/>
    </row>
    <row r="404" spans="2:7" x14ac:dyDescent="0.25">
      <c r="B404" s="12"/>
      <c r="C404" s="12"/>
      <c r="D404" s="15"/>
      <c r="E404" s="19"/>
      <c r="F404" s="19"/>
      <c r="G404" s="12"/>
    </row>
    <row r="405" spans="2:7" x14ac:dyDescent="0.25">
      <c r="B405" s="12"/>
      <c r="C405" s="12"/>
      <c r="D405" s="15"/>
      <c r="E405" s="19"/>
      <c r="F405" s="19"/>
      <c r="G405" s="12"/>
    </row>
    <row r="406" spans="2:7" x14ac:dyDescent="0.25">
      <c r="B406" s="12"/>
      <c r="C406" s="12"/>
      <c r="D406" s="15"/>
      <c r="E406" s="19"/>
      <c r="F406" s="19"/>
      <c r="G406" s="12"/>
    </row>
    <row r="407" spans="2:7" x14ac:dyDescent="0.25">
      <c r="B407" s="12"/>
      <c r="C407" s="12"/>
      <c r="D407" s="15"/>
      <c r="E407" s="19"/>
      <c r="F407" s="19"/>
      <c r="G407" s="12"/>
    </row>
    <row r="408" spans="2:7" x14ac:dyDescent="0.25">
      <c r="B408" s="12"/>
      <c r="C408" s="12"/>
      <c r="D408" s="15"/>
      <c r="E408" s="19"/>
      <c r="F408" s="19"/>
      <c r="G408" s="12"/>
    </row>
    <row r="409" spans="2:7" x14ac:dyDescent="0.25">
      <c r="B409" s="12"/>
      <c r="C409" s="12"/>
      <c r="D409" s="15"/>
      <c r="E409" s="19"/>
      <c r="F409" s="19"/>
      <c r="G409" s="12"/>
    </row>
    <row r="410" spans="2:7" x14ac:dyDescent="0.25">
      <c r="B410" s="12"/>
      <c r="C410" s="12"/>
      <c r="D410" s="15"/>
      <c r="E410" s="19"/>
      <c r="F410" s="19"/>
      <c r="G410" s="12"/>
    </row>
    <row r="411" spans="2:7" x14ac:dyDescent="0.25">
      <c r="B411" s="12"/>
      <c r="C411" s="12"/>
      <c r="D411" s="15"/>
      <c r="E411" s="19"/>
      <c r="F411" s="19"/>
      <c r="G411" s="12"/>
    </row>
    <row r="412" spans="2:7" x14ac:dyDescent="0.25">
      <c r="B412" s="12"/>
      <c r="C412" s="12"/>
      <c r="D412" s="15"/>
      <c r="E412" s="19"/>
      <c r="F412" s="19"/>
      <c r="G412" s="12"/>
    </row>
    <row r="413" spans="2:7" x14ac:dyDescent="0.25">
      <c r="B413" s="12"/>
      <c r="C413" s="12"/>
      <c r="D413" s="15"/>
      <c r="E413" s="19"/>
      <c r="F413" s="19"/>
      <c r="G413" s="12"/>
    </row>
    <row r="414" spans="2:7" x14ac:dyDescent="0.25">
      <c r="B414" s="12"/>
      <c r="C414" s="12"/>
      <c r="D414" s="15"/>
      <c r="E414" s="19"/>
      <c r="F414" s="19"/>
      <c r="G414" s="12"/>
    </row>
    <row r="415" spans="2:7" x14ac:dyDescent="0.25">
      <c r="B415" s="12"/>
      <c r="C415" s="12"/>
      <c r="D415" s="15"/>
      <c r="E415" s="19"/>
      <c r="F415" s="19"/>
      <c r="G415" s="12"/>
    </row>
    <row r="416" spans="2:7" x14ac:dyDescent="0.25">
      <c r="B416" s="12"/>
      <c r="C416" s="12"/>
      <c r="D416" s="15"/>
      <c r="E416" s="19"/>
      <c r="F416" s="19"/>
      <c r="G416" s="12"/>
    </row>
    <row r="417" spans="2:7" x14ac:dyDescent="0.25">
      <c r="B417" s="12"/>
      <c r="C417" s="12"/>
      <c r="D417" s="15"/>
      <c r="E417" s="19"/>
      <c r="F417" s="19"/>
      <c r="G417" s="12"/>
    </row>
    <row r="418" spans="2:7" x14ac:dyDescent="0.25">
      <c r="B418" s="12"/>
      <c r="C418" s="12"/>
      <c r="D418" s="15"/>
      <c r="E418" s="19"/>
      <c r="F418" s="19"/>
      <c r="G418" s="12"/>
    </row>
    <row r="419" spans="2:7" x14ac:dyDescent="0.25">
      <c r="B419" s="12"/>
      <c r="C419" s="12"/>
      <c r="D419" s="15"/>
      <c r="E419" s="19"/>
      <c r="F419" s="19"/>
      <c r="G419" s="12"/>
    </row>
    <row r="420" spans="2:7" x14ac:dyDescent="0.25">
      <c r="B420" s="12"/>
      <c r="C420" s="12"/>
      <c r="D420" s="15"/>
      <c r="E420" s="19"/>
      <c r="F420" s="19"/>
      <c r="G420" s="12"/>
    </row>
    <row r="421" spans="2:7" x14ac:dyDescent="0.25">
      <c r="B421" s="12"/>
      <c r="C421" s="12"/>
      <c r="D421" s="15"/>
      <c r="E421" s="19"/>
      <c r="F421" s="19"/>
      <c r="G421" s="12"/>
    </row>
    <row r="422" spans="2:7" x14ac:dyDescent="0.25">
      <c r="B422" s="12"/>
      <c r="C422" s="12"/>
      <c r="D422" s="15"/>
      <c r="E422" s="19"/>
      <c r="F422" s="19"/>
      <c r="G422" s="12"/>
    </row>
    <row r="423" spans="2:7" x14ac:dyDescent="0.25">
      <c r="B423" s="12"/>
      <c r="C423" s="12"/>
      <c r="D423" s="15"/>
      <c r="E423" s="19"/>
      <c r="F423" s="19"/>
      <c r="G423" s="12"/>
    </row>
    <row r="424" spans="2:7" x14ac:dyDescent="0.25">
      <c r="B424" s="12"/>
      <c r="C424" s="12"/>
      <c r="D424" s="15"/>
      <c r="E424" s="19"/>
      <c r="F424" s="19"/>
      <c r="G424" s="12"/>
    </row>
    <row r="425" spans="2:7" x14ac:dyDescent="0.25">
      <c r="B425" s="12"/>
      <c r="C425" s="12"/>
      <c r="D425" s="15"/>
      <c r="E425" s="19"/>
      <c r="F425" s="19"/>
      <c r="G425" s="12"/>
    </row>
    <row r="426" spans="2:7" x14ac:dyDescent="0.25">
      <c r="B426" s="12"/>
      <c r="C426" s="12"/>
      <c r="D426" s="15"/>
      <c r="E426" s="19"/>
      <c r="F426" s="19"/>
      <c r="G426" s="12"/>
    </row>
    <row r="427" spans="2:7" x14ac:dyDescent="0.25">
      <c r="B427" s="12"/>
      <c r="C427" s="12"/>
      <c r="D427" s="15"/>
      <c r="E427" s="19"/>
      <c r="F427" s="19"/>
      <c r="G427" s="12"/>
    </row>
    <row r="428" spans="2:7" x14ac:dyDescent="0.25">
      <c r="B428" s="12"/>
      <c r="C428" s="12"/>
      <c r="D428" s="15"/>
      <c r="E428" s="19"/>
      <c r="F428" s="19"/>
      <c r="G428" s="12"/>
    </row>
    <row r="429" spans="2:7" x14ac:dyDescent="0.25">
      <c r="B429" s="12"/>
      <c r="C429" s="12"/>
      <c r="D429" s="15"/>
      <c r="E429" s="19"/>
      <c r="F429" s="19"/>
      <c r="G429" s="12"/>
    </row>
    <row r="430" spans="2:7" x14ac:dyDescent="0.25">
      <c r="B430" s="12"/>
      <c r="C430" s="12"/>
      <c r="D430" s="15"/>
      <c r="E430" s="19"/>
      <c r="F430" s="19"/>
      <c r="G430" s="12"/>
    </row>
    <row r="431" spans="2:7" x14ac:dyDescent="0.25">
      <c r="B431" s="12"/>
      <c r="C431" s="12"/>
      <c r="D431" s="15"/>
      <c r="E431" s="19"/>
      <c r="F431" s="19"/>
      <c r="G431" s="12"/>
    </row>
    <row r="432" spans="2:7" x14ac:dyDescent="0.25">
      <c r="B432" s="12"/>
      <c r="C432" s="12"/>
      <c r="D432" s="15"/>
      <c r="E432" s="19"/>
      <c r="F432" s="19"/>
      <c r="G432" s="12"/>
    </row>
    <row r="433" spans="2:7" x14ac:dyDescent="0.25">
      <c r="B433" s="12"/>
      <c r="C433" s="12"/>
      <c r="D433" s="15"/>
      <c r="E433" s="19"/>
      <c r="F433" s="19"/>
      <c r="G433" s="12"/>
    </row>
    <row r="434" spans="2:7" x14ac:dyDescent="0.25">
      <c r="B434" s="12"/>
      <c r="C434" s="12"/>
      <c r="D434" s="15"/>
      <c r="E434" s="19"/>
      <c r="F434" s="19"/>
      <c r="G434" s="12"/>
    </row>
    <row r="435" spans="2:7" x14ac:dyDescent="0.25">
      <c r="B435" s="12"/>
      <c r="C435" s="12"/>
      <c r="D435" s="15"/>
      <c r="E435" s="19"/>
      <c r="F435" s="19"/>
      <c r="G435" s="12"/>
    </row>
    <row r="436" spans="2:7" x14ac:dyDescent="0.25">
      <c r="B436" s="12"/>
      <c r="C436" s="12"/>
      <c r="D436" s="15"/>
      <c r="E436" s="19"/>
      <c r="F436" s="19"/>
      <c r="G436" s="12"/>
    </row>
    <row r="437" spans="2:7" x14ac:dyDescent="0.25">
      <c r="B437" s="12"/>
      <c r="C437" s="12"/>
      <c r="D437" s="15"/>
      <c r="E437" s="19"/>
      <c r="F437" s="19"/>
      <c r="G437" s="12"/>
    </row>
    <row r="438" spans="2:7" x14ac:dyDescent="0.25">
      <c r="B438" s="12"/>
      <c r="C438" s="12"/>
      <c r="D438" s="15"/>
      <c r="E438" s="19"/>
      <c r="F438" s="19"/>
      <c r="G438" s="12"/>
    </row>
    <row r="439" spans="2:7" x14ac:dyDescent="0.25">
      <c r="B439" s="12"/>
      <c r="C439" s="12"/>
      <c r="D439" s="15"/>
      <c r="E439" s="19"/>
      <c r="F439" s="19"/>
      <c r="G439" s="12"/>
    </row>
    <row r="440" spans="2:7" x14ac:dyDescent="0.25">
      <c r="B440" s="12"/>
      <c r="C440" s="12"/>
      <c r="D440" s="15"/>
      <c r="E440" s="19"/>
      <c r="F440" s="19"/>
      <c r="G440" s="12"/>
    </row>
    <row r="441" spans="2:7" x14ac:dyDescent="0.25">
      <c r="B441" s="12"/>
      <c r="C441" s="12"/>
      <c r="D441" s="15"/>
      <c r="E441" s="19"/>
      <c r="F441" s="19"/>
      <c r="G441" s="12"/>
    </row>
    <row r="442" spans="2:7" x14ac:dyDescent="0.25">
      <c r="B442" s="12"/>
      <c r="C442" s="12"/>
      <c r="D442" s="15"/>
      <c r="E442" s="19"/>
      <c r="F442" s="19"/>
      <c r="G442" s="12"/>
    </row>
    <row r="443" spans="2:7" x14ac:dyDescent="0.25">
      <c r="B443" s="12"/>
      <c r="C443" s="12"/>
      <c r="D443" s="15"/>
      <c r="E443" s="19"/>
      <c r="F443" s="19"/>
      <c r="G443" s="12"/>
    </row>
    <row r="444" spans="2:7" x14ac:dyDescent="0.25">
      <c r="B444" s="12"/>
      <c r="C444" s="12"/>
      <c r="D444" s="15"/>
      <c r="E444" s="19"/>
      <c r="F444" s="19"/>
      <c r="G444" s="12"/>
    </row>
    <row r="445" spans="2:7" x14ac:dyDescent="0.25">
      <c r="B445" s="12"/>
      <c r="C445" s="12"/>
      <c r="D445" s="15"/>
      <c r="E445" s="19"/>
      <c r="F445" s="19"/>
      <c r="G445" s="12"/>
    </row>
    <row r="446" spans="2:7" x14ac:dyDescent="0.25">
      <c r="B446" s="12"/>
      <c r="C446" s="12"/>
      <c r="D446" s="15"/>
      <c r="E446" s="19"/>
      <c r="F446" s="19"/>
      <c r="G446" s="12"/>
    </row>
    <row r="447" spans="2:7" x14ac:dyDescent="0.25">
      <c r="B447" s="12"/>
      <c r="C447" s="12"/>
      <c r="D447" s="15"/>
      <c r="E447" s="19"/>
      <c r="F447" s="19"/>
      <c r="G447" s="12"/>
    </row>
    <row r="448" spans="2:7" x14ac:dyDescent="0.25">
      <c r="B448" s="12"/>
      <c r="C448" s="12"/>
      <c r="D448" s="15"/>
      <c r="E448" s="19"/>
      <c r="F448" s="19"/>
      <c r="G448" s="12"/>
    </row>
    <row r="449" spans="2:7" x14ac:dyDescent="0.25">
      <c r="B449" s="12"/>
      <c r="C449" s="12"/>
      <c r="D449" s="15"/>
      <c r="E449" s="19"/>
      <c r="F449" s="19"/>
      <c r="G449" s="12"/>
    </row>
    <row r="450" spans="2:7" x14ac:dyDescent="0.25">
      <c r="B450" s="12"/>
      <c r="C450" s="12"/>
      <c r="D450" s="15"/>
      <c r="E450" s="19"/>
      <c r="F450" s="19"/>
      <c r="G450" s="12"/>
    </row>
    <row r="451" spans="2:7" x14ac:dyDescent="0.25">
      <c r="B451" s="12"/>
      <c r="C451" s="12"/>
      <c r="D451" s="15"/>
      <c r="E451" s="19"/>
      <c r="F451" s="19"/>
      <c r="G451" s="12"/>
    </row>
    <row r="452" spans="2:7" x14ac:dyDescent="0.25">
      <c r="B452" s="12"/>
      <c r="C452" s="12"/>
      <c r="D452" s="15"/>
      <c r="E452" s="19"/>
      <c r="F452" s="19"/>
      <c r="G452" s="12"/>
    </row>
    <row r="453" spans="2:7" x14ac:dyDescent="0.25">
      <c r="B453" s="12"/>
      <c r="C453" s="12"/>
      <c r="D453" s="15"/>
      <c r="E453" s="19"/>
      <c r="F453" s="19"/>
      <c r="G453" s="12"/>
    </row>
    <row r="454" spans="2:7" x14ac:dyDescent="0.25">
      <c r="B454" s="12"/>
      <c r="C454" s="12"/>
      <c r="D454" s="15"/>
      <c r="E454" s="19"/>
      <c r="F454" s="19"/>
      <c r="G454" s="12"/>
    </row>
    <row r="455" spans="2:7" x14ac:dyDescent="0.25">
      <c r="B455" s="12"/>
      <c r="C455" s="12"/>
      <c r="D455" s="15"/>
      <c r="E455" s="19"/>
      <c r="F455" s="19"/>
      <c r="G455" s="12"/>
    </row>
    <row r="456" spans="2:7" x14ac:dyDescent="0.25">
      <c r="B456" s="12"/>
      <c r="C456" s="12"/>
      <c r="D456" s="15"/>
      <c r="E456" s="19"/>
      <c r="F456" s="19"/>
      <c r="G456" s="12"/>
    </row>
    <row r="457" spans="2:7" x14ac:dyDescent="0.25">
      <c r="B457" s="12"/>
      <c r="C457" s="12"/>
      <c r="D457" s="15"/>
      <c r="E457" s="19"/>
      <c r="F457" s="19"/>
      <c r="G457" s="12"/>
    </row>
    <row r="458" spans="2:7" x14ac:dyDescent="0.25">
      <c r="B458" s="12"/>
      <c r="C458" s="12"/>
      <c r="D458" s="15"/>
      <c r="E458" s="19"/>
      <c r="F458" s="19"/>
      <c r="G458" s="12"/>
    </row>
    <row r="459" spans="2:7" x14ac:dyDescent="0.25">
      <c r="B459" s="12"/>
      <c r="C459" s="12"/>
      <c r="D459" s="15"/>
      <c r="E459" s="19"/>
      <c r="F459" s="19"/>
      <c r="G459" s="12"/>
    </row>
    <row r="460" spans="2:7" x14ac:dyDescent="0.25">
      <c r="B460" s="12"/>
      <c r="C460" s="12"/>
      <c r="D460" s="15"/>
      <c r="E460" s="19"/>
      <c r="F460" s="19"/>
      <c r="G460" s="12"/>
    </row>
    <row r="461" spans="2:7" x14ac:dyDescent="0.25">
      <c r="B461" s="12"/>
      <c r="C461" s="12"/>
      <c r="D461" s="15"/>
      <c r="E461" s="19"/>
      <c r="F461" s="19"/>
      <c r="G461" s="12"/>
    </row>
    <row r="462" spans="2:7" x14ac:dyDescent="0.25">
      <c r="B462" s="12"/>
      <c r="C462" s="12"/>
      <c r="D462" s="15"/>
      <c r="E462" s="19"/>
      <c r="F462" s="19"/>
      <c r="G462" s="12"/>
    </row>
    <row r="463" spans="2:7" x14ac:dyDescent="0.25">
      <c r="B463" s="12"/>
      <c r="C463" s="12"/>
      <c r="D463" s="15"/>
      <c r="E463" s="19"/>
      <c r="F463" s="19"/>
      <c r="G463" s="12"/>
    </row>
    <row r="464" spans="2:7" x14ac:dyDescent="0.25">
      <c r="B464" s="12"/>
      <c r="C464" s="12"/>
      <c r="D464" s="15"/>
      <c r="E464" s="19"/>
      <c r="F464" s="19"/>
      <c r="G464" s="12"/>
    </row>
    <row r="465" spans="2:7" x14ac:dyDescent="0.25">
      <c r="B465" s="12"/>
      <c r="C465" s="12"/>
      <c r="D465" s="15"/>
      <c r="E465" s="19"/>
      <c r="F465" s="19"/>
      <c r="G465" s="12"/>
    </row>
    <row r="466" spans="2:7" x14ac:dyDescent="0.25">
      <c r="B466" s="12"/>
      <c r="C466" s="12"/>
      <c r="D466" s="15"/>
      <c r="E466" s="19"/>
      <c r="F466" s="19"/>
      <c r="G466" s="12"/>
    </row>
    <row r="467" spans="2:7" x14ac:dyDescent="0.25">
      <c r="B467" s="12"/>
      <c r="C467" s="12"/>
      <c r="D467" s="15"/>
      <c r="E467" s="19"/>
      <c r="F467" s="19"/>
      <c r="G467" s="12"/>
    </row>
    <row r="468" spans="2:7" x14ac:dyDescent="0.25">
      <c r="B468" s="12"/>
      <c r="C468" s="12"/>
      <c r="D468" s="15"/>
      <c r="E468" s="19"/>
      <c r="F468" s="19"/>
      <c r="G468" s="12"/>
    </row>
    <row r="469" spans="2:7" x14ac:dyDescent="0.25">
      <c r="B469" s="12"/>
      <c r="C469" s="12"/>
      <c r="D469" s="15"/>
      <c r="E469" s="19"/>
      <c r="F469" s="19"/>
      <c r="G469" s="12"/>
    </row>
    <row r="470" spans="2:7" x14ac:dyDescent="0.25">
      <c r="B470" s="12"/>
      <c r="C470" s="12"/>
      <c r="D470" s="15"/>
      <c r="E470" s="19"/>
      <c r="F470" s="19"/>
      <c r="G470" s="12"/>
    </row>
    <row r="471" spans="2:7" x14ac:dyDescent="0.25">
      <c r="B471" s="12"/>
      <c r="C471" s="12"/>
      <c r="D471" s="15"/>
      <c r="E471" s="19"/>
      <c r="F471" s="19"/>
      <c r="G471" s="12"/>
    </row>
    <row r="472" spans="2:7" x14ac:dyDescent="0.25">
      <c r="B472" s="12"/>
      <c r="C472" s="12"/>
      <c r="D472" s="15"/>
      <c r="E472" s="19"/>
      <c r="F472" s="19"/>
      <c r="G472" s="12"/>
    </row>
    <row r="473" spans="2:7" x14ac:dyDescent="0.25">
      <c r="B473" s="12"/>
      <c r="C473" s="12"/>
      <c r="D473" s="15"/>
      <c r="E473" s="19"/>
      <c r="F473" s="19"/>
      <c r="G473" s="12"/>
    </row>
    <row r="474" spans="2:7" x14ac:dyDescent="0.25">
      <c r="B474" s="12"/>
      <c r="C474" s="12"/>
      <c r="D474" s="15"/>
      <c r="E474" s="19"/>
      <c r="F474" s="19"/>
      <c r="G474" s="12"/>
    </row>
    <row r="475" spans="2:7" x14ac:dyDescent="0.25">
      <c r="B475" s="12"/>
      <c r="C475" s="12"/>
      <c r="D475" s="15"/>
      <c r="E475" s="19"/>
      <c r="F475" s="19"/>
      <c r="G475" s="12"/>
    </row>
    <row r="476" spans="2:7" x14ac:dyDescent="0.25">
      <c r="B476" s="12"/>
      <c r="C476" s="12"/>
      <c r="D476" s="15"/>
      <c r="E476" s="19"/>
      <c r="F476" s="19"/>
      <c r="G476" s="12"/>
    </row>
    <row r="477" spans="2:7" x14ac:dyDescent="0.25">
      <c r="B477" s="12"/>
      <c r="C477" s="12"/>
      <c r="D477" s="15"/>
      <c r="E477" s="19"/>
      <c r="F477" s="19"/>
      <c r="G477" s="12"/>
    </row>
    <row r="478" spans="2:7" x14ac:dyDescent="0.25">
      <c r="B478" s="12"/>
      <c r="C478" s="12"/>
      <c r="D478" s="15"/>
      <c r="E478" s="19"/>
      <c r="F478" s="19"/>
      <c r="G478" s="12"/>
    </row>
    <row r="479" spans="2:7" x14ac:dyDescent="0.25">
      <c r="B479" s="12"/>
      <c r="C479" s="12"/>
      <c r="D479" s="15"/>
      <c r="E479" s="19"/>
      <c r="F479" s="19"/>
      <c r="G479" s="12"/>
    </row>
    <row r="480" spans="2:7" x14ac:dyDescent="0.25">
      <c r="B480" s="12"/>
      <c r="C480" s="12"/>
      <c r="D480" s="15"/>
      <c r="E480" s="19"/>
      <c r="F480" s="19"/>
      <c r="G480" s="12"/>
    </row>
    <row r="481" spans="2:7" x14ac:dyDescent="0.25">
      <c r="B481" s="12"/>
      <c r="C481" s="12"/>
      <c r="D481" s="15"/>
      <c r="E481" s="19"/>
      <c r="F481" s="19"/>
      <c r="G481" s="12"/>
    </row>
    <row r="482" spans="2:7" x14ac:dyDescent="0.25">
      <c r="B482" s="12"/>
      <c r="C482" s="12"/>
      <c r="D482" s="15"/>
      <c r="E482" s="19"/>
      <c r="F482" s="19"/>
      <c r="G482" s="12"/>
    </row>
    <row r="483" spans="2:7" x14ac:dyDescent="0.25">
      <c r="B483" s="12"/>
      <c r="C483" s="12"/>
      <c r="D483" s="15"/>
      <c r="E483" s="19"/>
      <c r="F483" s="19"/>
      <c r="G483" s="12"/>
    </row>
    <row r="484" spans="2:7" x14ac:dyDescent="0.25">
      <c r="B484" s="12"/>
      <c r="C484" s="12"/>
      <c r="D484" s="15"/>
      <c r="E484" s="19"/>
      <c r="F484" s="19"/>
      <c r="G484" s="12"/>
    </row>
    <row r="485" spans="2:7" x14ac:dyDescent="0.25">
      <c r="B485" s="12"/>
      <c r="C485" s="12"/>
      <c r="D485" s="15"/>
      <c r="E485" s="19"/>
      <c r="F485" s="19"/>
      <c r="G485" s="12"/>
    </row>
    <row r="486" spans="2:7" x14ac:dyDescent="0.25">
      <c r="B486" s="12"/>
      <c r="C486" s="12"/>
      <c r="D486" s="15"/>
      <c r="E486" s="19"/>
      <c r="F486" s="19"/>
      <c r="G486" s="12"/>
    </row>
    <row r="487" spans="2:7" x14ac:dyDescent="0.25">
      <c r="B487" s="12"/>
      <c r="C487" s="12"/>
      <c r="D487" s="15"/>
      <c r="E487" s="19"/>
      <c r="F487" s="19"/>
      <c r="G487" s="12"/>
    </row>
    <row r="488" spans="2:7" x14ac:dyDescent="0.25">
      <c r="B488" s="12"/>
      <c r="C488" s="12"/>
      <c r="D488" s="15"/>
      <c r="E488" s="19"/>
      <c r="F488" s="19"/>
      <c r="G488" s="12"/>
    </row>
    <row r="489" spans="2:7" x14ac:dyDescent="0.25">
      <c r="B489" s="12"/>
      <c r="C489" s="12"/>
      <c r="D489" s="15"/>
      <c r="E489" s="19"/>
      <c r="F489" s="19"/>
      <c r="G489" s="12"/>
    </row>
    <row r="490" spans="2:7" x14ac:dyDescent="0.25">
      <c r="B490" s="12"/>
      <c r="C490" s="12"/>
      <c r="D490" s="15"/>
      <c r="E490" s="19"/>
      <c r="F490" s="19"/>
      <c r="G490" s="12"/>
    </row>
    <row r="491" spans="2:7" x14ac:dyDescent="0.25">
      <c r="B491" s="12"/>
      <c r="C491" s="12"/>
      <c r="D491" s="15"/>
      <c r="E491" s="19"/>
      <c r="F491" s="19"/>
      <c r="G491" s="12"/>
    </row>
    <row r="492" spans="2:7" x14ac:dyDescent="0.25">
      <c r="B492" s="12"/>
      <c r="C492" s="12"/>
      <c r="D492" s="15"/>
      <c r="E492" s="19"/>
      <c r="F492" s="19"/>
      <c r="G492" s="12"/>
    </row>
    <row r="493" spans="2:7" x14ac:dyDescent="0.25">
      <c r="B493" s="12"/>
      <c r="C493" s="12"/>
      <c r="D493" s="15"/>
      <c r="E493" s="19"/>
      <c r="F493" s="19"/>
      <c r="G493" s="12"/>
    </row>
    <row r="494" spans="2:7" x14ac:dyDescent="0.25">
      <c r="B494" s="12"/>
      <c r="C494" s="12"/>
      <c r="D494" s="15"/>
      <c r="E494" s="19"/>
      <c r="F494" s="19"/>
      <c r="G494" s="12"/>
    </row>
    <row r="495" spans="2:7" x14ac:dyDescent="0.25">
      <c r="B495" s="12"/>
      <c r="C495" s="12"/>
      <c r="D495" s="15"/>
      <c r="E495" s="19"/>
      <c r="F495" s="19"/>
      <c r="G495" s="12"/>
    </row>
    <row r="496" spans="2:7" x14ac:dyDescent="0.25">
      <c r="B496" s="12"/>
      <c r="C496" s="12"/>
      <c r="D496" s="15"/>
      <c r="E496" s="19"/>
      <c r="F496" s="19"/>
      <c r="G496" s="12"/>
    </row>
    <row r="497" spans="2:7" x14ac:dyDescent="0.25">
      <c r="B497" s="12"/>
      <c r="C497" s="12"/>
      <c r="D497" s="15"/>
      <c r="E497" s="19"/>
      <c r="F497" s="19"/>
      <c r="G497" s="12"/>
    </row>
    <row r="498" spans="2:7" x14ac:dyDescent="0.25">
      <c r="B498" s="12"/>
      <c r="C498" s="12"/>
      <c r="D498" s="15"/>
      <c r="E498" s="19"/>
      <c r="F498" s="19"/>
      <c r="G498" s="12"/>
    </row>
    <row r="499" spans="2:7" x14ac:dyDescent="0.25">
      <c r="B499" s="12"/>
      <c r="C499" s="12"/>
      <c r="D499" s="15"/>
      <c r="E499" s="19"/>
      <c r="F499" s="19"/>
      <c r="G499" s="12"/>
    </row>
    <row r="500" spans="2:7" x14ac:dyDescent="0.25">
      <c r="B500" s="12"/>
      <c r="C500" s="12"/>
      <c r="D500" s="15"/>
      <c r="E500" s="19"/>
      <c r="F500" s="19"/>
      <c r="G500" s="12"/>
    </row>
    <row r="501" spans="2:7" x14ac:dyDescent="0.25">
      <c r="B501" s="12"/>
      <c r="C501" s="12"/>
      <c r="D501" s="15"/>
      <c r="E501" s="19"/>
      <c r="F501" s="19"/>
      <c r="G501" s="12"/>
    </row>
    <row r="502" spans="2:7" x14ac:dyDescent="0.25">
      <c r="B502" s="12"/>
      <c r="C502" s="12"/>
      <c r="D502" s="15"/>
      <c r="E502" s="19"/>
      <c r="F502" s="19"/>
      <c r="G502" s="12"/>
    </row>
    <row r="503" spans="2:7" x14ac:dyDescent="0.25">
      <c r="B503" s="12"/>
      <c r="C503" s="12"/>
      <c r="D503" s="15"/>
      <c r="E503" s="19"/>
      <c r="F503" s="19"/>
      <c r="G503" s="12"/>
    </row>
    <row r="504" spans="2:7" x14ac:dyDescent="0.25">
      <c r="B504" s="12"/>
      <c r="C504" s="12"/>
      <c r="D504" s="15"/>
      <c r="E504" s="19"/>
      <c r="F504" s="19"/>
      <c r="G504" s="12"/>
    </row>
    <row r="505" spans="2:7" x14ac:dyDescent="0.25">
      <c r="B505" s="12"/>
      <c r="C505" s="12"/>
      <c r="D505" s="15"/>
      <c r="E505" s="19"/>
      <c r="F505" s="19"/>
      <c r="G505" s="12"/>
    </row>
    <row r="506" spans="2:7" x14ac:dyDescent="0.25">
      <c r="B506" s="12"/>
      <c r="C506" s="12"/>
      <c r="D506" s="15"/>
      <c r="E506" s="19"/>
      <c r="F506" s="19"/>
      <c r="G506" s="12"/>
    </row>
    <row r="507" spans="2:7" x14ac:dyDescent="0.25">
      <c r="B507" s="12"/>
      <c r="C507" s="12"/>
      <c r="D507" s="15"/>
      <c r="E507" s="19"/>
      <c r="F507" s="19"/>
      <c r="G507" s="12"/>
    </row>
    <row r="508" spans="2:7" x14ac:dyDescent="0.25">
      <c r="B508" s="12"/>
      <c r="C508" s="12"/>
      <c r="D508" s="15"/>
      <c r="E508" s="19"/>
      <c r="F508" s="19"/>
      <c r="G508" s="12"/>
    </row>
    <row r="509" spans="2:7" x14ac:dyDescent="0.25">
      <c r="B509" s="12"/>
      <c r="C509" s="12"/>
      <c r="D509" s="15"/>
      <c r="E509" s="19"/>
      <c r="F509" s="19"/>
      <c r="G509" s="12"/>
    </row>
    <row r="510" spans="2:7" x14ac:dyDescent="0.25">
      <c r="B510" s="12"/>
      <c r="C510" s="12"/>
      <c r="D510" s="15"/>
      <c r="E510" s="19"/>
      <c r="F510" s="19"/>
      <c r="G510" s="12"/>
    </row>
    <row r="511" spans="2:7" x14ac:dyDescent="0.25">
      <c r="B511" s="12"/>
      <c r="C511" s="12"/>
      <c r="D511" s="15"/>
      <c r="E511" s="19"/>
      <c r="F511" s="19"/>
      <c r="G511" s="12"/>
    </row>
    <row r="512" spans="2:7" x14ac:dyDescent="0.25">
      <c r="B512" s="12"/>
      <c r="C512" s="12"/>
      <c r="D512" s="15"/>
      <c r="E512" s="19"/>
      <c r="F512" s="19"/>
      <c r="G512" s="12"/>
    </row>
    <row r="513" spans="2:7" x14ac:dyDescent="0.25">
      <c r="B513" s="12"/>
      <c r="C513" s="12"/>
      <c r="D513" s="15"/>
      <c r="E513" s="19"/>
      <c r="F513" s="19"/>
      <c r="G513" s="12"/>
    </row>
    <row r="514" spans="2:7" x14ac:dyDescent="0.25">
      <c r="B514" s="12"/>
      <c r="C514" s="12"/>
      <c r="D514" s="15"/>
      <c r="E514" s="19"/>
      <c r="F514" s="19"/>
      <c r="G514" s="12"/>
    </row>
    <row r="515" spans="2:7" x14ac:dyDescent="0.25">
      <c r="B515" s="12"/>
      <c r="C515" s="12"/>
      <c r="D515" s="15"/>
      <c r="E515" s="19"/>
      <c r="F515" s="19"/>
      <c r="G515" s="12"/>
    </row>
    <row r="516" spans="2:7" x14ac:dyDescent="0.25">
      <c r="B516" s="12"/>
      <c r="C516" s="12"/>
      <c r="D516" s="15"/>
      <c r="E516" s="19"/>
      <c r="F516" s="19"/>
      <c r="G516" s="12"/>
    </row>
    <row r="517" spans="2:7" x14ac:dyDescent="0.25">
      <c r="B517" s="12"/>
      <c r="C517" s="12"/>
      <c r="D517" s="15"/>
      <c r="E517" s="19"/>
      <c r="F517" s="19"/>
      <c r="G517" s="12"/>
    </row>
    <row r="518" spans="2:7" x14ac:dyDescent="0.25">
      <c r="B518" s="12"/>
      <c r="C518" s="12"/>
      <c r="D518" s="15"/>
      <c r="E518" s="19"/>
      <c r="F518" s="19"/>
      <c r="G518" s="12"/>
    </row>
    <row r="519" spans="2:7" x14ac:dyDescent="0.25">
      <c r="B519" s="12"/>
      <c r="C519" s="12"/>
      <c r="D519" s="15"/>
      <c r="E519" s="19"/>
      <c r="F519" s="19"/>
      <c r="G519" s="12"/>
    </row>
    <row r="520" spans="2:7" x14ac:dyDescent="0.25">
      <c r="B520" s="12"/>
      <c r="C520" s="12"/>
      <c r="D520" s="15"/>
      <c r="E520" s="19"/>
      <c r="F520" s="19"/>
      <c r="G520" s="12"/>
    </row>
    <row r="521" spans="2:7" x14ac:dyDescent="0.25">
      <c r="B521" s="12"/>
      <c r="C521" s="12"/>
      <c r="D521" s="15"/>
      <c r="E521" s="19"/>
      <c r="F521" s="19"/>
      <c r="G521" s="12"/>
    </row>
    <row r="522" spans="2:7" x14ac:dyDescent="0.25">
      <c r="B522" s="12"/>
      <c r="C522" s="12"/>
      <c r="D522" s="15"/>
      <c r="E522" s="19"/>
      <c r="F522" s="19"/>
      <c r="G522" s="12"/>
    </row>
    <row r="523" spans="2:7" x14ac:dyDescent="0.25">
      <c r="B523" s="12"/>
      <c r="C523" s="12"/>
      <c r="D523" s="15"/>
      <c r="E523" s="19"/>
      <c r="F523" s="19"/>
      <c r="G523" s="12"/>
    </row>
    <row r="524" spans="2:7" x14ac:dyDescent="0.25">
      <c r="B524" s="12"/>
      <c r="C524" s="12"/>
      <c r="D524" s="15"/>
      <c r="E524" s="19"/>
      <c r="F524" s="19"/>
      <c r="G524" s="12"/>
    </row>
    <row r="525" spans="2:7" x14ac:dyDescent="0.25">
      <c r="B525" s="12"/>
      <c r="C525" s="12"/>
      <c r="D525" s="15"/>
      <c r="E525" s="19"/>
      <c r="F525" s="19"/>
      <c r="G525" s="12"/>
    </row>
    <row r="526" spans="2:7" x14ac:dyDescent="0.25">
      <c r="B526" s="12"/>
      <c r="C526" s="12"/>
      <c r="D526" s="15"/>
      <c r="E526" s="19"/>
      <c r="F526" s="19"/>
      <c r="G526" s="12"/>
    </row>
    <row r="527" spans="2:7" x14ac:dyDescent="0.25">
      <c r="B527" s="12"/>
      <c r="C527" s="12"/>
      <c r="D527" s="15"/>
      <c r="E527" s="19"/>
      <c r="F527" s="19"/>
      <c r="G527" s="12"/>
    </row>
    <row r="528" spans="2:7" x14ac:dyDescent="0.25">
      <c r="B528" s="12"/>
      <c r="C528" s="12"/>
      <c r="D528" s="15"/>
      <c r="E528" s="19"/>
      <c r="F528" s="19"/>
      <c r="G528" s="12"/>
    </row>
    <row r="529" spans="2:7" x14ac:dyDescent="0.25">
      <c r="B529" s="12"/>
      <c r="C529" s="12"/>
      <c r="D529" s="15"/>
      <c r="E529" s="19"/>
      <c r="F529" s="19"/>
      <c r="G529" s="12"/>
    </row>
    <row r="530" spans="2:7" x14ac:dyDescent="0.25">
      <c r="B530" s="12"/>
      <c r="C530" s="12"/>
      <c r="D530" s="15"/>
      <c r="E530" s="19"/>
      <c r="F530" s="19"/>
      <c r="G530" s="12"/>
    </row>
    <row r="531" spans="2:7" x14ac:dyDescent="0.25">
      <c r="B531" s="12"/>
      <c r="C531" s="12"/>
      <c r="D531" s="15"/>
      <c r="E531" s="19"/>
      <c r="F531" s="19"/>
      <c r="G531" s="12"/>
    </row>
    <row r="532" spans="2:7" x14ac:dyDescent="0.25">
      <c r="B532" s="12"/>
      <c r="C532" s="12"/>
      <c r="D532" s="15"/>
      <c r="E532" s="19"/>
      <c r="F532" s="19"/>
      <c r="G532" s="12"/>
    </row>
    <row r="533" spans="2:7" x14ac:dyDescent="0.25">
      <c r="B533" s="12"/>
      <c r="C533" s="12"/>
      <c r="D533" s="15"/>
      <c r="E533" s="19"/>
      <c r="F533" s="19"/>
      <c r="G533" s="12"/>
    </row>
    <row r="534" spans="2:7" x14ac:dyDescent="0.25">
      <c r="B534" s="12"/>
      <c r="C534" s="12"/>
      <c r="D534" s="15"/>
      <c r="E534" s="19"/>
      <c r="F534" s="19"/>
      <c r="G534" s="12"/>
    </row>
    <row r="535" spans="2:7" x14ac:dyDescent="0.25">
      <c r="B535" s="12"/>
      <c r="C535" s="12"/>
      <c r="D535" s="15"/>
      <c r="E535" s="19"/>
      <c r="F535" s="19"/>
      <c r="G535" s="12"/>
    </row>
    <row r="536" spans="2:7" x14ac:dyDescent="0.25">
      <c r="B536" s="12"/>
      <c r="C536" s="12"/>
      <c r="D536" s="15"/>
      <c r="E536" s="19"/>
      <c r="F536" s="19"/>
      <c r="G536" s="12"/>
    </row>
    <row r="537" spans="2:7" x14ac:dyDescent="0.25">
      <c r="B537" s="12"/>
      <c r="C537" s="12"/>
      <c r="D537" s="15"/>
      <c r="E537" s="19"/>
      <c r="F537" s="19"/>
      <c r="G537" s="12"/>
    </row>
    <row r="538" spans="2:7" x14ac:dyDescent="0.25">
      <c r="B538" s="12"/>
      <c r="C538" s="12"/>
      <c r="D538" s="15"/>
      <c r="E538" s="19"/>
      <c r="F538" s="19"/>
      <c r="G538" s="12"/>
    </row>
    <row r="539" spans="2:7" x14ac:dyDescent="0.25">
      <c r="B539" s="12"/>
      <c r="C539" s="12"/>
      <c r="D539" s="15"/>
      <c r="E539" s="19"/>
      <c r="F539" s="19"/>
      <c r="G539" s="12"/>
    </row>
    <row r="540" spans="2:7" x14ac:dyDescent="0.25">
      <c r="B540" s="12"/>
      <c r="C540" s="12"/>
      <c r="D540" s="15"/>
      <c r="E540" s="19"/>
      <c r="F540" s="19"/>
      <c r="G540" s="12"/>
    </row>
    <row r="541" spans="2:7" x14ac:dyDescent="0.25">
      <c r="B541" s="12"/>
      <c r="C541" s="12"/>
      <c r="D541" s="15"/>
      <c r="E541" s="19"/>
      <c r="F541" s="19"/>
      <c r="G541" s="12"/>
    </row>
    <row r="542" spans="2:7" x14ac:dyDescent="0.25">
      <c r="B542" s="12"/>
      <c r="C542" s="12"/>
      <c r="D542" s="15"/>
      <c r="E542" s="19"/>
      <c r="F542" s="19"/>
      <c r="G542" s="12"/>
    </row>
    <row r="543" spans="2:7" x14ac:dyDescent="0.25">
      <c r="B543" s="12"/>
      <c r="C543" s="12"/>
      <c r="D543" s="15"/>
      <c r="E543" s="19"/>
      <c r="F543" s="19"/>
      <c r="G543" s="12"/>
    </row>
    <row r="544" spans="2:7" x14ac:dyDescent="0.25">
      <c r="B544" s="12"/>
      <c r="C544" s="12"/>
      <c r="D544" s="15"/>
      <c r="E544" s="19"/>
      <c r="F544" s="19"/>
      <c r="G544" s="12"/>
    </row>
    <row r="545" spans="2:7" x14ac:dyDescent="0.25">
      <c r="B545" s="12"/>
      <c r="C545" s="12"/>
      <c r="D545" s="15"/>
      <c r="E545" s="19"/>
      <c r="F545" s="19"/>
      <c r="G545" s="12"/>
    </row>
    <row r="546" spans="2:7" x14ac:dyDescent="0.25">
      <c r="B546" s="12"/>
      <c r="C546" s="12"/>
      <c r="D546" s="15"/>
      <c r="E546" s="19"/>
      <c r="F546" s="19"/>
      <c r="G546" s="12"/>
    </row>
    <row r="547" spans="2:7" x14ac:dyDescent="0.25">
      <c r="B547" s="12"/>
      <c r="C547" s="12"/>
      <c r="D547" s="15"/>
      <c r="E547" s="19"/>
      <c r="F547" s="19"/>
      <c r="G547" s="12"/>
    </row>
    <row r="548" spans="2:7" x14ac:dyDescent="0.25">
      <c r="B548" s="12"/>
      <c r="C548" s="12"/>
      <c r="D548" s="15"/>
      <c r="E548" s="19"/>
      <c r="F548" s="19"/>
      <c r="G548" s="12"/>
    </row>
    <row r="549" spans="2:7" x14ac:dyDescent="0.25">
      <c r="B549" s="12"/>
      <c r="C549" s="12"/>
      <c r="D549" s="15"/>
      <c r="E549" s="19"/>
      <c r="F549" s="19"/>
      <c r="G549" s="12"/>
    </row>
    <row r="550" spans="2:7" x14ac:dyDescent="0.25">
      <c r="B550" s="12"/>
      <c r="C550" s="12"/>
      <c r="D550" s="15"/>
      <c r="E550" s="19"/>
      <c r="F550" s="19"/>
      <c r="G550" s="12"/>
    </row>
    <row r="551" spans="2:7" x14ac:dyDescent="0.25">
      <c r="B551" s="12"/>
      <c r="C551" s="12"/>
      <c r="D551" s="15"/>
      <c r="E551" s="19"/>
      <c r="F551" s="19"/>
      <c r="G551" s="12"/>
    </row>
    <row r="552" spans="2:7" x14ac:dyDescent="0.25">
      <c r="B552" s="12"/>
      <c r="C552" s="12"/>
      <c r="D552" s="15"/>
      <c r="E552" s="19"/>
      <c r="F552" s="19"/>
      <c r="G552" s="12"/>
    </row>
    <row r="553" spans="2:7" x14ac:dyDescent="0.25">
      <c r="B553" s="12"/>
      <c r="C553" s="12"/>
      <c r="D553" s="15"/>
      <c r="E553" s="19"/>
      <c r="F553" s="19"/>
      <c r="G553" s="12"/>
    </row>
    <row r="554" spans="2:7" x14ac:dyDescent="0.25">
      <c r="B554" s="12"/>
      <c r="C554" s="12"/>
      <c r="D554" s="15"/>
      <c r="E554" s="19"/>
      <c r="F554" s="19"/>
      <c r="G554" s="12"/>
    </row>
    <row r="555" spans="2:7" x14ac:dyDescent="0.25">
      <c r="B555" s="12"/>
      <c r="C555" s="12"/>
      <c r="D555" s="15"/>
      <c r="E555" s="19"/>
      <c r="F555" s="19"/>
      <c r="G555" s="12"/>
    </row>
    <row r="556" spans="2:7" x14ac:dyDescent="0.25">
      <c r="B556" s="12"/>
      <c r="C556" s="12"/>
      <c r="D556" s="15"/>
      <c r="E556" s="19"/>
      <c r="F556" s="19"/>
      <c r="G556" s="12"/>
    </row>
    <row r="557" spans="2:7" x14ac:dyDescent="0.25">
      <c r="B557" s="12"/>
      <c r="C557" s="12"/>
      <c r="D557" s="15"/>
      <c r="E557" s="19"/>
      <c r="F557" s="19"/>
      <c r="G557" s="12"/>
    </row>
    <row r="558" spans="2:7" x14ac:dyDescent="0.25">
      <c r="B558" s="12"/>
      <c r="C558" s="12"/>
      <c r="D558" s="15"/>
      <c r="E558" s="19"/>
      <c r="F558" s="19"/>
      <c r="G558" s="12"/>
    </row>
    <row r="559" spans="2:7" x14ac:dyDescent="0.25">
      <c r="B559" s="12"/>
      <c r="C559" s="12"/>
      <c r="D559" s="15"/>
      <c r="E559" s="19"/>
      <c r="F559" s="19"/>
      <c r="G559" s="12"/>
    </row>
    <row r="560" spans="2:7" x14ac:dyDescent="0.25">
      <c r="B560" s="12"/>
      <c r="C560" s="12"/>
      <c r="D560" s="15"/>
      <c r="E560" s="19"/>
      <c r="F560" s="19"/>
      <c r="G560" s="12"/>
    </row>
    <row r="561" spans="2:7" x14ac:dyDescent="0.25">
      <c r="B561" s="12"/>
      <c r="C561" s="12"/>
      <c r="D561" s="15"/>
      <c r="E561" s="19"/>
      <c r="F561" s="19"/>
      <c r="G561" s="12"/>
    </row>
    <row r="562" spans="2:7" x14ac:dyDescent="0.25">
      <c r="B562" s="12"/>
      <c r="C562" s="12"/>
      <c r="D562" s="15"/>
      <c r="E562" s="19"/>
      <c r="F562" s="19"/>
      <c r="G562" s="12"/>
    </row>
    <row r="563" spans="2:7" x14ac:dyDescent="0.25">
      <c r="B563" s="12"/>
      <c r="C563" s="12"/>
      <c r="D563" s="15"/>
      <c r="E563" s="19"/>
      <c r="F563" s="19"/>
      <c r="G563" s="12"/>
    </row>
    <row r="564" spans="2:7" x14ac:dyDescent="0.25">
      <c r="B564" s="12"/>
      <c r="C564" s="12"/>
      <c r="D564" s="15"/>
      <c r="E564" s="19"/>
      <c r="F564" s="19"/>
      <c r="G564" s="12"/>
    </row>
    <row r="565" spans="2:7" x14ac:dyDescent="0.25">
      <c r="B565" s="12"/>
      <c r="C565" s="12"/>
      <c r="D565" s="15"/>
      <c r="E565" s="19"/>
      <c r="F565" s="19"/>
      <c r="G565" s="12"/>
    </row>
    <row r="566" spans="2:7" x14ac:dyDescent="0.25">
      <c r="B566" s="12"/>
      <c r="C566" s="12"/>
      <c r="D566" s="15"/>
      <c r="E566" s="19"/>
      <c r="F566" s="19"/>
      <c r="G566" s="12"/>
    </row>
    <row r="567" spans="2:7" x14ac:dyDescent="0.25">
      <c r="B567" s="12"/>
      <c r="C567" s="12"/>
      <c r="D567" s="15"/>
      <c r="E567" s="19"/>
      <c r="F567" s="19"/>
      <c r="G567" s="12"/>
    </row>
    <row r="568" spans="2:7" x14ac:dyDescent="0.25">
      <c r="B568" s="12"/>
      <c r="C568" s="12"/>
      <c r="D568" s="15"/>
      <c r="E568" s="19"/>
      <c r="F568" s="19"/>
      <c r="G568" s="12"/>
    </row>
    <row r="569" spans="2:7" x14ac:dyDescent="0.25">
      <c r="B569" s="12"/>
      <c r="C569" s="12"/>
      <c r="D569" s="15"/>
      <c r="E569" s="19"/>
      <c r="F569" s="19"/>
      <c r="G569" s="12"/>
    </row>
    <row r="570" spans="2:7" x14ac:dyDescent="0.25">
      <c r="B570" s="12"/>
      <c r="C570" s="12"/>
      <c r="D570" s="15"/>
      <c r="E570" s="19"/>
      <c r="F570" s="19"/>
      <c r="G570" s="12"/>
    </row>
    <row r="571" spans="2:7" x14ac:dyDescent="0.25">
      <c r="B571" s="12"/>
      <c r="C571" s="12"/>
      <c r="D571" s="15"/>
      <c r="E571" s="19"/>
      <c r="F571" s="19"/>
      <c r="G571" s="12"/>
    </row>
    <row r="572" spans="2:7" x14ac:dyDescent="0.25">
      <c r="B572" s="12"/>
      <c r="C572" s="12"/>
      <c r="D572" s="15"/>
      <c r="E572" s="19"/>
      <c r="F572" s="19"/>
      <c r="G572" s="12"/>
    </row>
    <row r="573" spans="2:7" x14ac:dyDescent="0.25">
      <c r="B573" s="12"/>
      <c r="C573" s="12"/>
      <c r="D573" s="15"/>
      <c r="E573" s="19"/>
      <c r="F573" s="19"/>
      <c r="G573" s="12"/>
    </row>
    <row r="574" spans="2:7" x14ac:dyDescent="0.25">
      <c r="B574" s="12"/>
      <c r="C574" s="12"/>
      <c r="D574" s="15"/>
      <c r="E574" s="19"/>
      <c r="F574" s="19"/>
      <c r="G574" s="12"/>
    </row>
    <row r="575" spans="2:7" x14ac:dyDescent="0.25">
      <c r="B575" s="12"/>
      <c r="C575" s="12"/>
      <c r="D575" s="15"/>
      <c r="E575" s="19"/>
      <c r="F575" s="19"/>
      <c r="G575" s="12"/>
    </row>
    <row r="576" spans="2:7" x14ac:dyDescent="0.25">
      <c r="B576" s="12"/>
      <c r="C576" s="12"/>
      <c r="D576" s="15"/>
      <c r="E576" s="19"/>
      <c r="F576" s="19"/>
      <c r="G576" s="12"/>
    </row>
    <row r="577" spans="2:7" x14ac:dyDescent="0.25">
      <c r="B577" s="12"/>
      <c r="C577" s="12"/>
      <c r="D577" s="15"/>
      <c r="E577" s="19"/>
      <c r="F577" s="19"/>
      <c r="G577" s="12"/>
    </row>
    <row r="578" spans="2:7" x14ac:dyDescent="0.25">
      <c r="B578" s="12"/>
      <c r="C578" s="12"/>
      <c r="D578" s="15"/>
      <c r="E578" s="19"/>
      <c r="F578" s="19"/>
      <c r="G578" s="12"/>
    </row>
    <row r="579" spans="2:7" x14ac:dyDescent="0.25">
      <c r="B579" s="12"/>
      <c r="C579" s="12"/>
      <c r="D579" s="15"/>
      <c r="E579" s="19"/>
      <c r="F579" s="19"/>
      <c r="G579" s="12"/>
    </row>
    <row r="580" spans="2:7" x14ac:dyDescent="0.25">
      <c r="B580" s="12"/>
      <c r="C580" s="12"/>
      <c r="D580" s="15"/>
      <c r="E580" s="19"/>
      <c r="F580" s="19"/>
      <c r="G580" s="12"/>
    </row>
    <row r="581" spans="2:7" x14ac:dyDescent="0.25">
      <c r="B581" s="12"/>
      <c r="C581" s="12"/>
      <c r="D581" s="15"/>
      <c r="E581" s="19"/>
      <c r="F581" s="19"/>
      <c r="G581" s="12"/>
    </row>
    <row r="582" spans="2:7" x14ac:dyDescent="0.25">
      <c r="B582" s="12"/>
      <c r="C582" s="12"/>
      <c r="D582" s="15"/>
      <c r="E582" s="19"/>
      <c r="F582" s="19"/>
      <c r="G582" s="12"/>
    </row>
    <row r="583" spans="2:7" x14ac:dyDescent="0.25">
      <c r="B583" s="12"/>
      <c r="C583" s="12"/>
      <c r="D583" s="15"/>
      <c r="E583" s="19"/>
      <c r="F583" s="19"/>
      <c r="G583" s="12"/>
    </row>
    <row r="584" spans="2:7" x14ac:dyDescent="0.25">
      <c r="B584" s="12"/>
      <c r="C584" s="12"/>
      <c r="D584" s="15"/>
      <c r="E584" s="19"/>
      <c r="F584" s="19"/>
      <c r="G584" s="12"/>
    </row>
    <row r="585" spans="2:7" x14ac:dyDescent="0.25">
      <c r="B585" s="12"/>
      <c r="C585" s="12"/>
      <c r="D585" s="15"/>
      <c r="E585" s="19"/>
      <c r="F585" s="19"/>
      <c r="G585" s="12"/>
    </row>
    <row r="586" spans="2:7" x14ac:dyDescent="0.25">
      <c r="B586" s="12"/>
      <c r="C586" s="12"/>
      <c r="D586" s="15"/>
      <c r="E586" s="19"/>
      <c r="F586" s="19"/>
      <c r="G586" s="12"/>
    </row>
    <row r="587" spans="2:7" x14ac:dyDescent="0.25">
      <c r="B587" s="12"/>
      <c r="C587" s="12"/>
      <c r="D587" s="15"/>
      <c r="E587" s="19"/>
      <c r="F587" s="19"/>
      <c r="G587" s="12"/>
    </row>
    <row r="588" spans="2:7" x14ac:dyDescent="0.25">
      <c r="B588" s="12"/>
      <c r="C588" s="12"/>
      <c r="D588" s="15"/>
      <c r="E588" s="19"/>
      <c r="F588" s="19"/>
      <c r="G588" s="12"/>
    </row>
    <row r="589" spans="2:7" x14ac:dyDescent="0.25">
      <c r="B589" s="12"/>
      <c r="C589" s="12"/>
      <c r="D589" s="15"/>
      <c r="E589" s="19"/>
      <c r="F589" s="19"/>
      <c r="G589" s="12"/>
    </row>
    <row r="590" spans="2:7" x14ac:dyDescent="0.25">
      <c r="B590" s="12"/>
      <c r="C590" s="12"/>
      <c r="D590" s="15"/>
      <c r="E590" s="19"/>
      <c r="F590" s="19"/>
      <c r="G590" s="12"/>
    </row>
    <row r="591" spans="2:7" x14ac:dyDescent="0.25">
      <c r="B591" s="12"/>
      <c r="C591" s="12"/>
      <c r="D591" s="15"/>
      <c r="E591" s="19"/>
      <c r="F591" s="19"/>
      <c r="G591" s="12"/>
    </row>
    <row r="592" spans="2:7" x14ac:dyDescent="0.25">
      <c r="B592" s="12"/>
      <c r="C592" s="12"/>
      <c r="D592" s="15"/>
      <c r="E592" s="19"/>
      <c r="F592" s="19"/>
      <c r="G592" s="12"/>
    </row>
    <row r="593" spans="2:7" x14ac:dyDescent="0.25">
      <c r="B593" s="12"/>
      <c r="C593" s="12"/>
      <c r="D593" s="15"/>
      <c r="E593" s="19"/>
      <c r="F593" s="19"/>
      <c r="G593" s="12"/>
    </row>
    <row r="594" spans="2:7" x14ac:dyDescent="0.25">
      <c r="B594" s="12"/>
      <c r="C594" s="12"/>
      <c r="D594" s="15"/>
      <c r="E594" s="19"/>
      <c r="F594" s="19"/>
      <c r="G594" s="12"/>
    </row>
    <row r="595" spans="2:7" x14ac:dyDescent="0.25">
      <c r="B595" s="12"/>
      <c r="C595" s="12"/>
      <c r="D595" s="15"/>
      <c r="E595" s="19"/>
      <c r="F595" s="19"/>
      <c r="G595" s="12"/>
    </row>
    <row r="596" spans="2:7" x14ac:dyDescent="0.25">
      <c r="B596" s="12"/>
      <c r="C596" s="12"/>
      <c r="D596" s="15"/>
      <c r="E596" s="19"/>
      <c r="F596" s="19"/>
      <c r="G596" s="12"/>
    </row>
    <row r="597" spans="2:7" x14ac:dyDescent="0.25">
      <c r="B597" s="12"/>
      <c r="C597" s="12"/>
      <c r="D597" s="15"/>
      <c r="E597" s="19"/>
      <c r="F597" s="19"/>
      <c r="G597" s="12"/>
    </row>
    <row r="598" spans="2:7" x14ac:dyDescent="0.25">
      <c r="B598" s="12"/>
      <c r="C598" s="12"/>
      <c r="D598" s="15"/>
      <c r="E598" s="19"/>
      <c r="F598" s="19"/>
      <c r="G598" s="12"/>
    </row>
    <row r="599" spans="2:7" x14ac:dyDescent="0.25">
      <c r="B599" s="12"/>
      <c r="C599" s="12"/>
      <c r="D599" s="15"/>
      <c r="E599" s="19"/>
      <c r="F599" s="19"/>
      <c r="G599" s="12"/>
    </row>
    <row r="600" spans="2:7" x14ac:dyDescent="0.25">
      <c r="B600" s="12"/>
      <c r="C600" s="12"/>
      <c r="D600" s="15"/>
      <c r="E600" s="19"/>
      <c r="F600" s="19"/>
      <c r="G600" s="12"/>
    </row>
    <row r="601" spans="2:7" x14ac:dyDescent="0.25">
      <c r="B601" s="12"/>
      <c r="C601" s="12"/>
      <c r="D601" s="15"/>
      <c r="E601" s="19"/>
      <c r="F601" s="19"/>
      <c r="G601" s="12"/>
    </row>
    <row r="602" spans="2:7" x14ac:dyDescent="0.25">
      <c r="B602" s="12"/>
      <c r="C602" s="12"/>
      <c r="D602" s="15"/>
      <c r="E602" s="19"/>
      <c r="F602" s="19"/>
      <c r="G602" s="12"/>
    </row>
    <row r="603" spans="2:7" x14ac:dyDescent="0.25">
      <c r="B603" s="12"/>
      <c r="C603" s="12"/>
      <c r="D603" s="15"/>
      <c r="E603" s="19"/>
      <c r="F603" s="19"/>
      <c r="G603" s="12"/>
    </row>
    <row r="604" spans="2:7" x14ac:dyDescent="0.25">
      <c r="B604" s="12"/>
      <c r="C604" s="12"/>
      <c r="D604" s="15"/>
      <c r="E604" s="19"/>
      <c r="F604" s="19"/>
      <c r="G604" s="12"/>
    </row>
    <row r="605" spans="2:7" x14ac:dyDescent="0.25">
      <c r="B605" s="12"/>
      <c r="C605" s="12"/>
      <c r="D605" s="15"/>
      <c r="E605" s="19"/>
      <c r="F605" s="19"/>
      <c r="G605" s="12"/>
    </row>
    <row r="606" spans="2:7" x14ac:dyDescent="0.25">
      <c r="B606" s="12"/>
      <c r="C606" s="12"/>
      <c r="D606" s="15"/>
      <c r="E606" s="19"/>
      <c r="F606" s="19"/>
      <c r="G606" s="12"/>
    </row>
    <row r="607" spans="2:7" x14ac:dyDescent="0.25">
      <c r="B607" s="12"/>
      <c r="C607" s="12"/>
      <c r="D607" s="15"/>
      <c r="E607" s="19"/>
      <c r="F607" s="19"/>
      <c r="G607" s="12"/>
    </row>
    <row r="608" spans="2:7" x14ac:dyDescent="0.25">
      <c r="B608" s="12"/>
      <c r="C608" s="12"/>
      <c r="D608" s="15"/>
      <c r="E608" s="19"/>
      <c r="F608" s="19"/>
      <c r="G608" s="12"/>
    </row>
    <row r="609" spans="2:7" x14ac:dyDescent="0.25">
      <c r="B609" s="12"/>
      <c r="C609" s="12"/>
      <c r="D609" s="15"/>
      <c r="E609" s="19"/>
      <c r="F609" s="19"/>
      <c r="G609" s="12"/>
    </row>
    <row r="610" spans="2:7" x14ac:dyDescent="0.25">
      <c r="B610" s="12"/>
      <c r="C610" s="12"/>
      <c r="D610" s="15"/>
      <c r="E610" s="19"/>
      <c r="F610" s="19"/>
      <c r="G610" s="12"/>
    </row>
    <row r="611" spans="2:7" x14ac:dyDescent="0.25">
      <c r="B611" s="12"/>
      <c r="C611" s="12"/>
      <c r="D611" s="15"/>
      <c r="E611" s="19"/>
      <c r="F611" s="19"/>
      <c r="G611" s="12"/>
    </row>
    <row r="612" spans="2:7" x14ac:dyDescent="0.25">
      <c r="B612" s="12"/>
      <c r="C612" s="12"/>
      <c r="D612" s="15"/>
      <c r="E612" s="19"/>
      <c r="F612" s="19"/>
      <c r="G612" s="12"/>
    </row>
    <row r="613" spans="2:7" x14ac:dyDescent="0.25">
      <c r="B613" s="12"/>
      <c r="C613" s="12"/>
      <c r="D613" s="15"/>
      <c r="E613" s="19"/>
      <c r="F613" s="19"/>
      <c r="G613" s="12"/>
    </row>
    <row r="614" spans="2:7" x14ac:dyDescent="0.25">
      <c r="B614" s="12"/>
      <c r="C614" s="12"/>
      <c r="D614" s="15"/>
      <c r="E614" s="19"/>
      <c r="F614" s="19"/>
      <c r="G614" s="12"/>
    </row>
    <row r="615" spans="2:7" x14ac:dyDescent="0.25">
      <c r="B615" s="12"/>
      <c r="C615" s="12"/>
      <c r="D615" s="15"/>
      <c r="E615" s="19"/>
      <c r="F615" s="19"/>
      <c r="G615" s="12"/>
    </row>
    <row r="616" spans="2:7" x14ac:dyDescent="0.25">
      <c r="B616" s="12"/>
      <c r="C616" s="12"/>
      <c r="D616" s="15"/>
      <c r="E616" s="19"/>
      <c r="F616" s="19"/>
      <c r="G616" s="12"/>
    </row>
    <row r="617" spans="2:7" x14ac:dyDescent="0.25">
      <c r="B617" s="12"/>
      <c r="C617" s="12"/>
      <c r="D617" s="15"/>
      <c r="E617" s="19"/>
      <c r="F617" s="19"/>
      <c r="G617" s="12"/>
    </row>
    <row r="618" spans="2:7" x14ac:dyDescent="0.25">
      <c r="B618" s="12"/>
      <c r="C618" s="12"/>
      <c r="D618" s="15"/>
      <c r="E618" s="19"/>
      <c r="F618" s="19"/>
      <c r="G618" s="12"/>
    </row>
    <row r="619" spans="2:7" x14ac:dyDescent="0.25">
      <c r="B619" s="12"/>
      <c r="C619" s="12"/>
      <c r="D619" s="15"/>
      <c r="E619" s="19"/>
      <c r="F619" s="19"/>
      <c r="G619" s="12"/>
    </row>
    <row r="620" spans="2:7" x14ac:dyDescent="0.25">
      <c r="B620" s="12"/>
      <c r="C620" s="12"/>
      <c r="D620" s="15"/>
      <c r="E620" s="19"/>
      <c r="F620" s="19"/>
      <c r="G620" s="12"/>
    </row>
    <row r="621" spans="2:7" x14ac:dyDescent="0.25">
      <c r="B621" s="12"/>
      <c r="C621" s="12"/>
      <c r="D621" s="15"/>
      <c r="E621" s="19"/>
      <c r="F621" s="19"/>
      <c r="G621" s="12"/>
    </row>
    <row r="622" spans="2:7" x14ac:dyDescent="0.25">
      <c r="B622" s="12"/>
      <c r="C622" s="12"/>
      <c r="D622" s="15"/>
      <c r="E622" s="19"/>
      <c r="F622" s="19"/>
      <c r="G622" s="12"/>
    </row>
    <row r="623" spans="2:7" x14ac:dyDescent="0.25">
      <c r="B623" s="12"/>
      <c r="C623" s="12"/>
      <c r="D623" s="15"/>
      <c r="E623" s="19"/>
      <c r="F623" s="19"/>
      <c r="G623" s="12"/>
    </row>
    <row r="624" spans="2:7" x14ac:dyDescent="0.25">
      <c r="B624" s="12"/>
      <c r="C624" s="12"/>
      <c r="D624" s="15"/>
      <c r="E624" s="19"/>
      <c r="F624" s="19"/>
      <c r="G624" s="12"/>
    </row>
    <row r="625" spans="2:7" x14ac:dyDescent="0.25">
      <c r="B625" s="12"/>
      <c r="C625" s="12"/>
      <c r="D625" s="15"/>
      <c r="E625" s="19"/>
      <c r="F625" s="19"/>
      <c r="G625" s="12"/>
    </row>
    <row r="626" spans="2:7" x14ac:dyDescent="0.25">
      <c r="B626" s="12"/>
      <c r="C626" s="12"/>
      <c r="D626" s="15"/>
      <c r="E626" s="19"/>
      <c r="F626" s="19"/>
      <c r="G626" s="12"/>
    </row>
    <row r="627" spans="2:7" x14ac:dyDescent="0.25">
      <c r="B627" s="12"/>
      <c r="C627" s="12"/>
      <c r="D627" s="15"/>
      <c r="E627" s="19"/>
      <c r="F627" s="19"/>
      <c r="G627" s="12"/>
    </row>
    <row r="628" spans="2:7" x14ac:dyDescent="0.25">
      <c r="B628" s="12"/>
      <c r="C628" s="12"/>
      <c r="D628" s="15"/>
      <c r="E628" s="19"/>
      <c r="F628" s="19"/>
      <c r="G628" s="12"/>
    </row>
    <row r="629" spans="2:7" x14ac:dyDescent="0.25">
      <c r="B629" s="12"/>
      <c r="C629" s="12"/>
      <c r="D629" s="15"/>
      <c r="E629" s="19"/>
      <c r="F629" s="19"/>
      <c r="G629" s="12"/>
    </row>
    <row r="630" spans="2:7" x14ac:dyDescent="0.25">
      <c r="B630" s="12"/>
      <c r="C630" s="12"/>
      <c r="D630" s="15"/>
      <c r="E630" s="19"/>
      <c r="F630" s="19"/>
      <c r="G630" s="12"/>
    </row>
    <row r="631" spans="2:7" x14ac:dyDescent="0.25">
      <c r="B631" s="12"/>
      <c r="C631" s="12"/>
      <c r="D631" s="15"/>
      <c r="E631" s="19"/>
      <c r="F631" s="19"/>
      <c r="G631" s="12"/>
    </row>
    <row r="632" spans="2:7" x14ac:dyDescent="0.25">
      <c r="B632" s="12"/>
      <c r="C632" s="12"/>
      <c r="D632" s="15"/>
      <c r="E632" s="19"/>
      <c r="F632" s="19"/>
      <c r="G632" s="12"/>
    </row>
    <row r="633" spans="2:7" x14ac:dyDescent="0.25">
      <c r="B633" s="12"/>
      <c r="C633" s="12"/>
      <c r="D633" s="15"/>
      <c r="E633" s="19"/>
      <c r="F633" s="19"/>
      <c r="G633" s="12"/>
    </row>
    <row r="634" spans="2:7" x14ac:dyDescent="0.25">
      <c r="B634" s="12"/>
      <c r="C634" s="12"/>
      <c r="D634" s="15"/>
      <c r="E634" s="19"/>
      <c r="F634" s="19"/>
      <c r="G634" s="12"/>
    </row>
    <row r="635" spans="2:7" x14ac:dyDescent="0.25">
      <c r="B635" s="12"/>
      <c r="C635" s="12"/>
      <c r="D635" s="15"/>
      <c r="E635" s="19"/>
      <c r="F635" s="19"/>
      <c r="G635" s="12"/>
    </row>
    <row r="636" spans="2:7" x14ac:dyDescent="0.25">
      <c r="B636" s="12"/>
      <c r="C636" s="12"/>
      <c r="D636" s="15"/>
      <c r="E636" s="19"/>
      <c r="F636" s="19"/>
      <c r="G636" s="12"/>
    </row>
    <row r="637" spans="2:7" x14ac:dyDescent="0.25">
      <c r="B637" s="12"/>
      <c r="C637" s="12"/>
      <c r="D637" s="15"/>
      <c r="E637" s="19"/>
      <c r="F637" s="19"/>
      <c r="G637" s="12"/>
    </row>
    <row r="638" spans="2:7" x14ac:dyDescent="0.25">
      <c r="B638" s="12"/>
      <c r="C638" s="12"/>
      <c r="D638" s="15"/>
      <c r="E638" s="19"/>
      <c r="F638" s="19"/>
      <c r="G638" s="12"/>
    </row>
    <row r="639" spans="2:7" x14ac:dyDescent="0.25">
      <c r="B639" s="12"/>
      <c r="C639" s="12"/>
      <c r="D639" s="15"/>
      <c r="E639" s="19"/>
      <c r="F639" s="19"/>
      <c r="G639" s="12"/>
    </row>
    <row r="640" spans="2:7" x14ac:dyDescent="0.25">
      <c r="B640" s="12"/>
      <c r="C640" s="12"/>
      <c r="D640" s="15"/>
      <c r="E640" s="19"/>
      <c r="F640" s="19"/>
      <c r="G640" s="12"/>
    </row>
    <row r="641" spans="2:7" x14ac:dyDescent="0.25">
      <c r="B641" s="12"/>
      <c r="C641" s="12"/>
      <c r="D641" s="15"/>
      <c r="E641" s="19"/>
      <c r="F641" s="19"/>
      <c r="G641" s="12"/>
    </row>
    <row r="642" spans="2:7" x14ac:dyDescent="0.25">
      <c r="B642" s="12"/>
      <c r="C642" s="12"/>
      <c r="D642" s="15"/>
      <c r="E642" s="19"/>
      <c r="F642" s="19"/>
      <c r="G642" s="12"/>
    </row>
    <row r="643" spans="2:7" x14ac:dyDescent="0.25">
      <c r="B643" s="12"/>
      <c r="C643" s="12"/>
      <c r="D643" s="15"/>
      <c r="E643" s="19"/>
      <c r="F643" s="19"/>
      <c r="G643" s="12"/>
    </row>
    <row r="644" spans="2:7" x14ac:dyDescent="0.25">
      <c r="B644" s="12"/>
      <c r="C644" s="12"/>
      <c r="D644" s="15"/>
      <c r="E644" s="19"/>
      <c r="F644" s="19"/>
      <c r="G644" s="12"/>
    </row>
    <row r="645" spans="2:7" x14ac:dyDescent="0.25">
      <c r="B645" s="12"/>
      <c r="C645" s="12"/>
      <c r="D645" s="15"/>
      <c r="E645" s="19"/>
      <c r="F645" s="19"/>
      <c r="G645" s="12"/>
    </row>
    <row r="646" spans="2:7" x14ac:dyDescent="0.25">
      <c r="B646" s="12"/>
      <c r="C646" s="12"/>
      <c r="D646" s="15"/>
      <c r="E646" s="19"/>
      <c r="F646" s="19"/>
      <c r="G646" s="12"/>
    </row>
    <row r="647" spans="2:7" x14ac:dyDescent="0.25">
      <c r="B647" s="12"/>
      <c r="C647" s="12"/>
      <c r="D647" s="15"/>
      <c r="E647" s="19"/>
      <c r="F647" s="19"/>
      <c r="G647" s="12"/>
    </row>
    <row r="648" spans="2:7" x14ac:dyDescent="0.25">
      <c r="B648" s="12"/>
      <c r="C648" s="12"/>
      <c r="D648" s="15"/>
      <c r="E648" s="19"/>
      <c r="F648" s="19"/>
      <c r="G648" s="12"/>
    </row>
    <row r="649" spans="2:7" x14ac:dyDescent="0.25">
      <c r="B649" s="12"/>
      <c r="C649" s="12"/>
      <c r="D649" s="15"/>
      <c r="E649" s="19"/>
      <c r="F649" s="19"/>
      <c r="G649" s="12"/>
    </row>
    <row r="650" spans="2:7" x14ac:dyDescent="0.25">
      <c r="B650" s="12"/>
      <c r="C650" s="12"/>
      <c r="D650" s="15"/>
      <c r="E650" s="19"/>
      <c r="F650" s="19"/>
      <c r="G650" s="12"/>
    </row>
    <row r="651" spans="2:7" x14ac:dyDescent="0.25">
      <c r="B651" s="12"/>
      <c r="C651" s="12"/>
      <c r="D651" s="15"/>
      <c r="E651" s="19"/>
      <c r="F651" s="19"/>
      <c r="G651" s="12"/>
    </row>
    <row r="652" spans="2:7" x14ac:dyDescent="0.25">
      <c r="B652" s="12"/>
      <c r="C652" s="12"/>
      <c r="D652" s="15"/>
      <c r="E652" s="19"/>
      <c r="F652" s="19"/>
      <c r="G652" s="12"/>
    </row>
    <row r="653" spans="2:7" x14ac:dyDescent="0.25">
      <c r="B653" s="12"/>
      <c r="C653" s="12"/>
      <c r="D653" s="15"/>
      <c r="E653" s="19"/>
      <c r="F653" s="19"/>
      <c r="G653" s="12"/>
    </row>
    <row r="654" spans="2:7" x14ac:dyDescent="0.25">
      <c r="B654" s="12"/>
      <c r="C654" s="12"/>
      <c r="D654" s="15"/>
      <c r="E654" s="19"/>
      <c r="F654" s="19"/>
      <c r="G654" s="12"/>
    </row>
    <row r="655" spans="2:7" x14ac:dyDescent="0.25">
      <c r="B655" s="12"/>
      <c r="C655" s="12"/>
      <c r="D655" s="15"/>
      <c r="E655" s="19"/>
      <c r="F655" s="19"/>
      <c r="G655" s="12"/>
    </row>
    <row r="656" spans="2:7" x14ac:dyDescent="0.25">
      <c r="B656" s="12"/>
      <c r="C656" s="12"/>
      <c r="D656" s="15"/>
      <c r="E656" s="19"/>
      <c r="F656" s="19"/>
      <c r="G656" s="12"/>
    </row>
    <row r="657" spans="2:7" x14ac:dyDescent="0.25">
      <c r="B657" s="12"/>
      <c r="C657" s="12"/>
      <c r="D657" s="15"/>
      <c r="E657" s="19"/>
      <c r="F657" s="19"/>
      <c r="G657" s="12"/>
    </row>
    <row r="658" spans="2:7" x14ac:dyDescent="0.25">
      <c r="B658" s="12"/>
      <c r="C658" s="12"/>
      <c r="D658" s="15"/>
      <c r="E658" s="19"/>
      <c r="F658" s="19"/>
      <c r="G658" s="12"/>
    </row>
    <row r="659" spans="2:7" x14ac:dyDescent="0.25">
      <c r="B659" s="12"/>
      <c r="C659" s="12"/>
      <c r="D659" s="15"/>
      <c r="E659" s="19"/>
      <c r="F659" s="19"/>
      <c r="G659" s="12"/>
    </row>
    <row r="660" spans="2:7" x14ac:dyDescent="0.25">
      <c r="B660" s="12"/>
      <c r="C660" s="12"/>
      <c r="D660" s="15"/>
      <c r="E660" s="19"/>
      <c r="F660" s="19"/>
      <c r="G660" s="12"/>
    </row>
    <row r="661" spans="2:7" x14ac:dyDescent="0.25">
      <c r="B661" s="12"/>
      <c r="C661" s="12"/>
      <c r="D661" s="15"/>
      <c r="E661" s="19"/>
      <c r="F661" s="19"/>
      <c r="G661" s="12"/>
    </row>
    <row r="662" spans="2:7" x14ac:dyDescent="0.25">
      <c r="B662" s="12"/>
      <c r="C662" s="12"/>
      <c r="D662" s="15"/>
      <c r="E662" s="19"/>
      <c r="F662" s="19"/>
      <c r="G662" s="12"/>
    </row>
    <row r="663" spans="2:7" x14ac:dyDescent="0.25">
      <c r="B663" s="12"/>
      <c r="C663" s="12"/>
      <c r="D663" s="15"/>
      <c r="E663" s="19"/>
      <c r="F663" s="19"/>
      <c r="G663" s="12"/>
    </row>
    <row r="664" spans="2:7" x14ac:dyDescent="0.25">
      <c r="B664" s="12"/>
      <c r="C664" s="12"/>
      <c r="D664" s="15"/>
      <c r="E664" s="19"/>
      <c r="F664" s="19"/>
      <c r="G664" s="12"/>
    </row>
    <row r="665" spans="2:7" x14ac:dyDescent="0.25">
      <c r="B665" s="12"/>
      <c r="C665" s="12"/>
      <c r="D665" s="15"/>
      <c r="E665" s="19"/>
      <c r="F665" s="19"/>
      <c r="G665" s="12"/>
    </row>
    <row r="666" spans="2:7" x14ac:dyDescent="0.25">
      <c r="B666" s="12"/>
      <c r="C666" s="12"/>
      <c r="D666" s="15"/>
      <c r="E666" s="19"/>
      <c r="F666" s="19"/>
      <c r="G666" s="12"/>
    </row>
    <row r="667" spans="2:7" x14ac:dyDescent="0.25">
      <c r="B667" s="12"/>
      <c r="C667" s="12"/>
      <c r="D667" s="15"/>
      <c r="E667" s="19"/>
      <c r="F667" s="19"/>
      <c r="G667" s="12"/>
    </row>
    <row r="668" spans="2:7" x14ac:dyDescent="0.25">
      <c r="B668" s="12"/>
      <c r="C668" s="12"/>
      <c r="D668" s="15"/>
      <c r="E668" s="19"/>
      <c r="F668" s="19"/>
      <c r="G668" s="12"/>
    </row>
    <row r="669" spans="2:7" x14ac:dyDescent="0.25">
      <c r="B669" s="12"/>
      <c r="C669" s="12"/>
      <c r="D669" s="15"/>
      <c r="E669" s="19"/>
      <c r="F669" s="19"/>
      <c r="G669" s="12"/>
    </row>
    <row r="670" spans="2:7" x14ac:dyDescent="0.25">
      <c r="B670" s="12"/>
      <c r="C670" s="12"/>
      <c r="D670" s="15"/>
      <c r="E670" s="19"/>
      <c r="F670" s="19"/>
      <c r="G670" s="12"/>
    </row>
    <row r="671" spans="2:7" x14ac:dyDescent="0.25">
      <c r="B671" s="12"/>
      <c r="C671" s="12"/>
      <c r="D671" s="15"/>
      <c r="E671" s="19"/>
      <c r="F671" s="19"/>
      <c r="G671" s="12"/>
    </row>
    <row r="672" spans="2:7" x14ac:dyDescent="0.25">
      <c r="B672" s="12"/>
      <c r="C672" s="12"/>
      <c r="D672" s="15"/>
      <c r="E672" s="19"/>
      <c r="F672" s="19"/>
      <c r="G672" s="12"/>
    </row>
    <row r="673" spans="2:7" x14ac:dyDescent="0.25">
      <c r="B673" s="12"/>
      <c r="C673" s="12"/>
      <c r="D673" s="15"/>
      <c r="E673" s="19"/>
      <c r="F673" s="19"/>
      <c r="G673" s="12"/>
    </row>
    <row r="674" spans="2:7" x14ac:dyDescent="0.25">
      <c r="B674" s="12"/>
      <c r="C674" s="12"/>
      <c r="D674" s="15"/>
      <c r="E674" s="19"/>
      <c r="F674" s="19"/>
      <c r="G674" s="12"/>
    </row>
    <row r="675" spans="2:7" x14ac:dyDescent="0.25">
      <c r="B675" s="12"/>
      <c r="C675" s="12"/>
      <c r="D675" s="15"/>
      <c r="E675" s="19"/>
      <c r="F675" s="19"/>
      <c r="G675" s="12"/>
    </row>
    <row r="676" spans="2:7" x14ac:dyDescent="0.25">
      <c r="B676" s="12"/>
      <c r="C676" s="12"/>
      <c r="D676" s="15"/>
      <c r="E676" s="19"/>
      <c r="F676" s="19"/>
      <c r="G676" s="12"/>
    </row>
    <row r="677" spans="2:7" x14ac:dyDescent="0.25">
      <c r="B677" s="12"/>
      <c r="C677" s="12"/>
      <c r="D677" s="15"/>
      <c r="E677" s="19"/>
      <c r="F677" s="19"/>
      <c r="G677" s="12"/>
    </row>
    <row r="678" spans="2:7" x14ac:dyDescent="0.25">
      <c r="B678" s="12"/>
      <c r="C678" s="12"/>
      <c r="D678" s="15"/>
      <c r="E678" s="19"/>
      <c r="F678" s="19"/>
      <c r="G678" s="12"/>
    </row>
    <row r="679" spans="2:7" x14ac:dyDescent="0.25">
      <c r="B679" s="12"/>
      <c r="C679" s="12"/>
      <c r="D679" s="15"/>
      <c r="E679" s="19"/>
      <c r="F679" s="19"/>
      <c r="G679" s="12"/>
    </row>
    <row r="680" spans="2:7" x14ac:dyDescent="0.25">
      <c r="B680" s="12"/>
      <c r="C680" s="12"/>
      <c r="D680" s="15"/>
      <c r="E680" s="19"/>
      <c r="F680" s="19"/>
      <c r="G680" s="12"/>
    </row>
    <row r="681" spans="2:7" x14ac:dyDescent="0.25">
      <c r="B681" s="12"/>
      <c r="C681" s="12"/>
      <c r="D681" s="15"/>
      <c r="E681" s="19"/>
      <c r="F681" s="19"/>
      <c r="G681" s="12"/>
    </row>
    <row r="682" spans="2:7" x14ac:dyDescent="0.25">
      <c r="B682" s="12"/>
      <c r="C682" s="12"/>
      <c r="D682" s="15"/>
      <c r="E682" s="19"/>
      <c r="F682" s="19"/>
      <c r="G682" s="12"/>
    </row>
    <row r="683" spans="2:7" x14ac:dyDescent="0.25">
      <c r="B683" s="12"/>
      <c r="C683" s="12"/>
      <c r="D683" s="15"/>
      <c r="E683" s="19"/>
      <c r="F683" s="19"/>
      <c r="G683" s="12"/>
    </row>
    <row r="684" spans="2:7" x14ac:dyDescent="0.25">
      <c r="B684" s="12"/>
      <c r="C684" s="12"/>
      <c r="D684" s="15"/>
      <c r="E684" s="19"/>
      <c r="F684" s="19"/>
      <c r="G684" s="12"/>
    </row>
    <row r="685" spans="2:7" x14ac:dyDescent="0.25">
      <c r="B685" s="12"/>
      <c r="C685" s="12"/>
      <c r="D685" s="15"/>
      <c r="E685" s="19"/>
      <c r="F685" s="19"/>
      <c r="G685" s="12"/>
    </row>
    <row r="686" spans="2:7" x14ac:dyDescent="0.25">
      <c r="B686" s="12"/>
      <c r="C686" s="12"/>
      <c r="D686" s="15"/>
      <c r="E686" s="19"/>
      <c r="F686" s="19"/>
      <c r="G686" s="12"/>
    </row>
    <row r="687" spans="2:7" x14ac:dyDescent="0.25">
      <c r="B687" s="12"/>
      <c r="C687" s="12"/>
      <c r="D687" s="15"/>
      <c r="E687" s="19"/>
      <c r="F687" s="19"/>
      <c r="G687" s="12"/>
    </row>
    <row r="688" spans="2:7" x14ac:dyDescent="0.25">
      <c r="B688" s="12"/>
      <c r="C688" s="12"/>
      <c r="D688" s="15"/>
      <c r="E688" s="19"/>
      <c r="F688" s="19"/>
      <c r="G688" s="12"/>
    </row>
    <row r="689" spans="2:7" x14ac:dyDescent="0.25">
      <c r="B689" s="12"/>
      <c r="C689" s="12"/>
      <c r="D689" s="15"/>
      <c r="E689" s="19"/>
      <c r="F689" s="19"/>
      <c r="G689" s="12"/>
    </row>
    <row r="690" spans="2:7" x14ac:dyDescent="0.25">
      <c r="B690" s="12"/>
      <c r="C690" s="12"/>
      <c r="D690" s="15"/>
      <c r="E690" s="19"/>
      <c r="F690" s="19"/>
      <c r="G690" s="12"/>
    </row>
    <row r="691" spans="2:7" x14ac:dyDescent="0.25">
      <c r="B691" s="12"/>
      <c r="C691" s="12"/>
      <c r="D691" s="15"/>
      <c r="E691" s="19"/>
      <c r="F691" s="19"/>
      <c r="G691" s="12"/>
    </row>
    <row r="692" spans="2:7" x14ac:dyDescent="0.25">
      <c r="B692" s="12"/>
      <c r="C692" s="12"/>
      <c r="D692" s="15"/>
      <c r="E692" s="19"/>
      <c r="F692" s="19"/>
      <c r="G692" s="12"/>
    </row>
    <row r="693" spans="2:7" x14ac:dyDescent="0.25">
      <c r="B693" s="12"/>
      <c r="C693" s="12"/>
      <c r="D693" s="15"/>
      <c r="E693" s="19"/>
      <c r="F693" s="19"/>
      <c r="G693" s="12"/>
    </row>
    <row r="694" spans="2:7" x14ac:dyDescent="0.25">
      <c r="B694" s="12"/>
      <c r="C694" s="12"/>
      <c r="D694" s="15"/>
      <c r="E694" s="19"/>
      <c r="F694" s="19"/>
      <c r="G694" s="12"/>
    </row>
    <row r="695" spans="2:7" x14ac:dyDescent="0.25">
      <c r="B695" s="12"/>
      <c r="C695" s="12"/>
      <c r="D695" s="15"/>
      <c r="E695" s="19"/>
      <c r="F695" s="19"/>
      <c r="G695" s="12"/>
    </row>
    <row r="696" spans="2:7" x14ac:dyDescent="0.25">
      <c r="B696" s="12"/>
      <c r="C696" s="12"/>
      <c r="D696" s="15"/>
      <c r="E696" s="19"/>
      <c r="F696" s="19"/>
      <c r="G696" s="12"/>
    </row>
    <row r="697" spans="2:7" x14ac:dyDescent="0.25">
      <c r="B697" s="12"/>
      <c r="C697" s="12"/>
      <c r="D697" s="15"/>
      <c r="E697" s="19"/>
      <c r="F697" s="19"/>
      <c r="G697" s="12"/>
    </row>
    <row r="698" spans="2:7" x14ac:dyDescent="0.25">
      <c r="B698" s="12"/>
      <c r="C698" s="12"/>
      <c r="D698" s="15"/>
      <c r="E698" s="19"/>
      <c r="F698" s="19"/>
      <c r="G698" s="12"/>
    </row>
    <row r="699" spans="2:7" x14ac:dyDescent="0.25">
      <c r="B699" s="12"/>
      <c r="C699" s="12"/>
      <c r="D699" s="15"/>
      <c r="E699" s="19"/>
      <c r="F699" s="19"/>
      <c r="G699" s="12"/>
    </row>
    <row r="700" spans="2:7" x14ac:dyDescent="0.25">
      <c r="B700" s="12"/>
      <c r="C700" s="12"/>
      <c r="D700" s="15"/>
      <c r="E700" s="19"/>
      <c r="F700" s="19"/>
      <c r="G700" s="12"/>
    </row>
    <row r="701" spans="2:7" x14ac:dyDescent="0.25">
      <c r="B701" s="12"/>
      <c r="C701" s="12"/>
      <c r="D701" s="15"/>
      <c r="E701" s="19"/>
      <c r="F701" s="19"/>
      <c r="G701" s="12"/>
    </row>
    <row r="702" spans="2:7" x14ac:dyDescent="0.25">
      <c r="B702" s="12"/>
      <c r="C702" s="12"/>
      <c r="D702" s="15"/>
      <c r="E702" s="19"/>
      <c r="F702" s="19"/>
      <c r="G702" s="12"/>
    </row>
    <row r="703" spans="2:7" x14ac:dyDescent="0.25">
      <c r="B703" s="12"/>
      <c r="C703" s="12"/>
      <c r="D703" s="15"/>
      <c r="E703" s="19"/>
      <c r="F703" s="19"/>
      <c r="G703" s="12"/>
    </row>
    <row r="704" spans="2:7" x14ac:dyDescent="0.25">
      <c r="B704" s="12"/>
      <c r="C704" s="12"/>
      <c r="D704" s="15"/>
      <c r="E704" s="19"/>
      <c r="F704" s="19"/>
      <c r="G704" s="12"/>
    </row>
    <row r="705" spans="2:7" x14ac:dyDescent="0.25">
      <c r="B705" s="12"/>
      <c r="C705" s="12"/>
      <c r="D705" s="15"/>
      <c r="E705" s="19"/>
      <c r="F705" s="19"/>
      <c r="G705" s="12"/>
    </row>
    <row r="706" spans="2:7" x14ac:dyDescent="0.25">
      <c r="B706" s="12"/>
      <c r="C706" s="12"/>
      <c r="D706" s="15"/>
      <c r="E706" s="19"/>
      <c r="F706" s="19"/>
      <c r="G706" s="12"/>
    </row>
    <row r="707" spans="2:7" x14ac:dyDescent="0.25">
      <c r="B707" s="12"/>
      <c r="C707" s="12"/>
      <c r="D707" s="15"/>
      <c r="E707" s="19"/>
      <c r="F707" s="19"/>
      <c r="G707" s="12"/>
    </row>
    <row r="708" spans="2:7" x14ac:dyDescent="0.25">
      <c r="B708" s="12"/>
      <c r="C708" s="12"/>
      <c r="D708" s="15"/>
      <c r="E708" s="19"/>
      <c r="F708" s="19"/>
      <c r="G708" s="12"/>
    </row>
    <row r="709" spans="2:7" x14ac:dyDescent="0.25">
      <c r="B709" s="12"/>
      <c r="C709" s="12"/>
      <c r="D709" s="15"/>
      <c r="E709" s="19"/>
      <c r="F709" s="19"/>
      <c r="G709" s="12"/>
    </row>
    <row r="710" spans="2:7" x14ac:dyDescent="0.25">
      <c r="B710" s="12"/>
      <c r="C710" s="12"/>
      <c r="D710" s="15"/>
      <c r="E710" s="19"/>
      <c r="F710" s="19"/>
      <c r="G710" s="12"/>
    </row>
    <row r="711" spans="2:7" x14ac:dyDescent="0.25">
      <c r="B711" s="12"/>
      <c r="C711" s="12"/>
      <c r="D711" s="15"/>
      <c r="E711" s="19"/>
      <c r="F711" s="19"/>
      <c r="G711" s="12"/>
    </row>
    <row r="712" spans="2:7" x14ac:dyDescent="0.25">
      <c r="B712" s="12"/>
      <c r="C712" s="12"/>
      <c r="D712" s="15"/>
      <c r="E712" s="19"/>
      <c r="F712" s="19"/>
      <c r="G712" s="12"/>
    </row>
    <row r="713" spans="2:7" x14ac:dyDescent="0.25">
      <c r="B713" s="12"/>
      <c r="C713" s="12"/>
      <c r="D713" s="15"/>
      <c r="E713" s="19"/>
      <c r="F713" s="19"/>
      <c r="G713" s="12"/>
    </row>
    <row r="714" spans="2:7" x14ac:dyDescent="0.25">
      <c r="B714" s="12"/>
      <c r="C714" s="12"/>
      <c r="D714" s="15"/>
      <c r="E714" s="19"/>
      <c r="F714" s="19"/>
      <c r="G714" s="12"/>
    </row>
    <row r="715" spans="2:7" x14ac:dyDescent="0.25">
      <c r="B715" s="12"/>
      <c r="C715" s="12"/>
      <c r="D715" s="15"/>
      <c r="E715" s="19"/>
      <c r="F715" s="19"/>
      <c r="G715" s="12"/>
    </row>
    <row r="716" spans="2:7" x14ac:dyDescent="0.25">
      <c r="B716" s="12"/>
      <c r="C716" s="12"/>
      <c r="D716" s="15"/>
      <c r="E716" s="19"/>
      <c r="F716" s="19"/>
      <c r="G716" s="12"/>
    </row>
    <row r="717" spans="2:7" x14ac:dyDescent="0.25">
      <c r="B717" s="12"/>
      <c r="C717" s="12"/>
      <c r="D717" s="15"/>
      <c r="E717" s="19"/>
      <c r="F717" s="19"/>
      <c r="G717" s="12"/>
    </row>
    <row r="718" spans="2:7" x14ac:dyDescent="0.25">
      <c r="B718" s="12"/>
      <c r="C718" s="12"/>
      <c r="D718" s="15"/>
      <c r="E718" s="19"/>
      <c r="F718" s="19"/>
      <c r="G718" s="12"/>
    </row>
    <row r="719" spans="2:7" x14ac:dyDescent="0.25">
      <c r="B719" s="12"/>
      <c r="C719" s="12"/>
      <c r="D719" s="15"/>
      <c r="E719" s="19"/>
      <c r="F719" s="19"/>
      <c r="G719" s="12"/>
    </row>
    <row r="720" spans="2:7" x14ac:dyDescent="0.25">
      <c r="B720" s="12"/>
      <c r="C720" s="12"/>
      <c r="D720" s="15"/>
      <c r="E720" s="19"/>
      <c r="F720" s="19"/>
      <c r="G720" s="12"/>
    </row>
    <row r="721" spans="2:7" x14ac:dyDescent="0.25">
      <c r="B721" s="12"/>
      <c r="C721" s="12"/>
      <c r="D721" s="15"/>
      <c r="E721" s="19"/>
      <c r="F721" s="19"/>
      <c r="G721" s="12"/>
    </row>
    <row r="722" spans="2:7" x14ac:dyDescent="0.25">
      <c r="B722" s="12"/>
      <c r="C722" s="12"/>
      <c r="D722" s="15"/>
      <c r="E722" s="19"/>
      <c r="F722" s="19"/>
      <c r="G722" s="12"/>
    </row>
    <row r="723" spans="2:7" x14ac:dyDescent="0.25">
      <c r="B723" s="12"/>
      <c r="C723" s="12"/>
      <c r="D723" s="15"/>
      <c r="E723" s="19"/>
      <c r="F723" s="19"/>
      <c r="G723" s="12"/>
    </row>
    <row r="724" spans="2:7" x14ac:dyDescent="0.25">
      <c r="B724" s="12"/>
      <c r="C724" s="12"/>
      <c r="D724" s="15"/>
      <c r="E724" s="19"/>
      <c r="F724" s="19"/>
      <c r="G724" s="12"/>
    </row>
    <row r="725" spans="2:7" x14ac:dyDescent="0.25">
      <c r="B725" s="12"/>
      <c r="C725" s="12"/>
      <c r="D725" s="15"/>
      <c r="E725" s="19"/>
      <c r="F725" s="19"/>
      <c r="G725" s="12"/>
    </row>
    <row r="726" spans="2:7" x14ac:dyDescent="0.25">
      <c r="B726" s="12"/>
      <c r="C726" s="12"/>
      <c r="D726" s="15"/>
      <c r="E726" s="19"/>
      <c r="F726" s="19"/>
      <c r="G726" s="12"/>
    </row>
    <row r="727" spans="2:7" x14ac:dyDescent="0.25">
      <c r="B727" s="12"/>
      <c r="C727" s="12"/>
      <c r="D727" s="15"/>
      <c r="E727" s="19"/>
      <c r="F727" s="19"/>
      <c r="G727" s="12"/>
    </row>
    <row r="728" spans="2:7" x14ac:dyDescent="0.25">
      <c r="B728" s="12"/>
      <c r="C728" s="12"/>
      <c r="D728" s="15"/>
      <c r="E728" s="19"/>
      <c r="F728" s="19"/>
      <c r="G728" s="12"/>
    </row>
    <row r="729" spans="2:7" x14ac:dyDescent="0.25">
      <c r="B729" s="12"/>
      <c r="C729" s="12"/>
      <c r="D729" s="15"/>
      <c r="E729" s="19"/>
      <c r="F729" s="19"/>
      <c r="G729" s="12"/>
    </row>
    <row r="730" spans="2:7" x14ac:dyDescent="0.25">
      <c r="B730" s="12"/>
      <c r="C730" s="12"/>
      <c r="D730" s="15"/>
      <c r="E730" s="19"/>
      <c r="F730" s="19"/>
      <c r="G730" s="12"/>
    </row>
    <row r="731" spans="2:7" x14ac:dyDescent="0.25">
      <c r="B731" s="12"/>
      <c r="C731" s="12"/>
      <c r="D731" s="15"/>
      <c r="E731" s="19"/>
      <c r="F731" s="19"/>
      <c r="G731" s="12"/>
    </row>
    <row r="732" spans="2:7" x14ac:dyDescent="0.25">
      <c r="B732" s="12"/>
      <c r="C732" s="12"/>
      <c r="D732" s="15"/>
      <c r="E732" s="19"/>
      <c r="F732" s="19"/>
      <c r="G732" s="12"/>
    </row>
    <row r="733" spans="2:7" x14ac:dyDescent="0.25">
      <c r="B733" s="12"/>
      <c r="C733" s="12"/>
      <c r="D733" s="15"/>
      <c r="E733" s="19"/>
      <c r="F733" s="19"/>
      <c r="G733" s="12"/>
    </row>
    <row r="734" spans="2:7" x14ac:dyDescent="0.25">
      <c r="B734" s="12"/>
      <c r="C734" s="12"/>
      <c r="D734" s="15"/>
      <c r="E734" s="19"/>
      <c r="F734" s="19"/>
      <c r="G734" s="12"/>
    </row>
    <row r="735" spans="2:7" x14ac:dyDescent="0.25">
      <c r="B735" s="12"/>
      <c r="C735" s="12"/>
      <c r="D735" s="15"/>
      <c r="E735" s="19"/>
      <c r="F735" s="19"/>
      <c r="G735" s="12"/>
    </row>
    <row r="736" spans="2:7" x14ac:dyDescent="0.25">
      <c r="B736" s="12"/>
      <c r="C736" s="12"/>
      <c r="D736" s="15"/>
      <c r="E736" s="19"/>
      <c r="F736" s="19"/>
      <c r="G736" s="12"/>
    </row>
    <row r="737" spans="2:7" x14ac:dyDescent="0.25">
      <c r="B737" s="12"/>
      <c r="C737" s="12"/>
      <c r="D737" s="15"/>
      <c r="E737" s="19"/>
      <c r="F737" s="19"/>
      <c r="G737" s="12"/>
    </row>
    <row r="738" spans="2:7" x14ac:dyDescent="0.25">
      <c r="B738" s="12"/>
      <c r="C738" s="12"/>
      <c r="D738" s="15"/>
      <c r="E738" s="19"/>
      <c r="F738" s="19"/>
      <c r="G738" s="12"/>
    </row>
    <row r="739" spans="2:7" x14ac:dyDescent="0.25">
      <c r="B739" s="12"/>
      <c r="C739" s="12"/>
      <c r="D739" s="15"/>
      <c r="E739" s="19"/>
      <c r="F739" s="19"/>
      <c r="G739" s="12"/>
    </row>
    <row r="740" spans="2:7" x14ac:dyDescent="0.25">
      <c r="B740" s="12"/>
      <c r="C740" s="12"/>
      <c r="D740" s="15"/>
      <c r="E740" s="19"/>
      <c r="F740" s="19"/>
      <c r="G740" s="12"/>
    </row>
    <row r="741" spans="2:7" x14ac:dyDescent="0.25">
      <c r="B741" s="12"/>
      <c r="C741" s="12"/>
      <c r="D741" s="15"/>
      <c r="E741" s="19"/>
      <c r="F741" s="19"/>
      <c r="G741" s="12"/>
    </row>
    <row r="742" spans="2:7" x14ac:dyDescent="0.25">
      <c r="B742" s="12"/>
      <c r="C742" s="12"/>
      <c r="D742" s="15"/>
      <c r="E742" s="19"/>
      <c r="F742" s="19"/>
      <c r="G742" s="12"/>
    </row>
    <row r="743" spans="2:7" x14ac:dyDescent="0.25">
      <c r="B743" s="12"/>
      <c r="C743" s="12"/>
      <c r="D743" s="15"/>
      <c r="E743" s="19"/>
      <c r="F743" s="19"/>
      <c r="G743" s="12"/>
    </row>
    <row r="744" spans="2:7" x14ac:dyDescent="0.25">
      <c r="B744" s="12"/>
      <c r="C744" s="12"/>
      <c r="D744" s="15"/>
      <c r="E744" s="19"/>
      <c r="F744" s="19"/>
      <c r="G744" s="12"/>
    </row>
    <row r="745" spans="2:7" x14ac:dyDescent="0.25">
      <c r="B745" s="12"/>
      <c r="C745" s="12"/>
      <c r="D745" s="15"/>
      <c r="E745" s="19"/>
      <c r="F745" s="19"/>
      <c r="G745" s="12"/>
    </row>
    <row r="746" spans="2:7" x14ac:dyDescent="0.25">
      <c r="B746" s="12"/>
      <c r="C746" s="12"/>
      <c r="D746" s="15"/>
      <c r="E746" s="19"/>
      <c r="F746" s="19"/>
      <c r="G746" s="12"/>
    </row>
    <row r="747" spans="2:7" x14ac:dyDescent="0.25">
      <c r="B747" s="12"/>
      <c r="C747" s="12"/>
      <c r="D747" s="15"/>
      <c r="E747" s="19"/>
      <c r="F747" s="19"/>
      <c r="G747" s="12"/>
    </row>
    <row r="748" spans="2:7" x14ac:dyDescent="0.25">
      <c r="B748" s="12"/>
      <c r="C748" s="12"/>
      <c r="D748" s="15"/>
      <c r="E748" s="19"/>
      <c r="F748" s="19"/>
      <c r="G748" s="12"/>
    </row>
    <row r="749" spans="2:7" x14ac:dyDescent="0.25">
      <c r="B749" s="12"/>
      <c r="C749" s="12"/>
      <c r="D749" s="15"/>
      <c r="E749" s="19"/>
      <c r="F749" s="19"/>
      <c r="G749" s="12"/>
    </row>
    <row r="750" spans="2:7" x14ac:dyDescent="0.25">
      <c r="B750" s="12"/>
      <c r="C750" s="12"/>
      <c r="D750" s="15"/>
      <c r="E750" s="19"/>
      <c r="F750" s="19"/>
      <c r="G750" s="12"/>
    </row>
    <row r="751" spans="2:7" x14ac:dyDescent="0.25">
      <c r="B751" s="12"/>
      <c r="C751" s="12"/>
      <c r="D751" s="15"/>
      <c r="E751" s="19"/>
      <c r="F751" s="19"/>
      <c r="G751" s="12"/>
    </row>
    <row r="752" spans="2:7" x14ac:dyDescent="0.25">
      <c r="B752" s="12"/>
      <c r="C752" s="12"/>
      <c r="D752" s="15"/>
      <c r="E752" s="19"/>
      <c r="F752" s="19"/>
      <c r="G752" s="12"/>
    </row>
    <row r="753" spans="2:7" x14ac:dyDescent="0.25">
      <c r="B753" s="12"/>
      <c r="C753" s="12"/>
      <c r="D753" s="15"/>
      <c r="E753" s="19"/>
      <c r="F753" s="19"/>
      <c r="G753" s="12"/>
    </row>
    <row r="754" spans="2:7" x14ac:dyDescent="0.25">
      <c r="B754" s="12"/>
      <c r="C754" s="12"/>
      <c r="D754" s="15"/>
      <c r="E754" s="19"/>
      <c r="F754" s="19"/>
      <c r="G754" s="12"/>
    </row>
    <row r="755" spans="2:7" x14ac:dyDescent="0.25">
      <c r="B755" s="12"/>
      <c r="C755" s="12"/>
      <c r="D755" s="15"/>
      <c r="E755" s="19"/>
      <c r="F755" s="19"/>
      <c r="G755" s="12"/>
    </row>
    <row r="756" spans="2:7" x14ac:dyDescent="0.25">
      <c r="B756" s="12"/>
      <c r="C756" s="12"/>
      <c r="D756" s="15"/>
      <c r="E756" s="19"/>
      <c r="F756" s="19"/>
      <c r="G756" s="12"/>
    </row>
    <row r="757" spans="2:7" x14ac:dyDescent="0.25">
      <c r="B757" s="12"/>
      <c r="C757" s="12"/>
      <c r="D757" s="15"/>
      <c r="E757" s="19"/>
      <c r="F757" s="19"/>
      <c r="G757" s="12"/>
    </row>
    <row r="758" spans="2:7" x14ac:dyDescent="0.25">
      <c r="B758" s="12"/>
      <c r="C758" s="12"/>
      <c r="D758" s="15"/>
      <c r="E758" s="19"/>
      <c r="F758" s="19"/>
      <c r="G758" s="12"/>
    </row>
    <row r="759" spans="2:7" x14ac:dyDescent="0.25">
      <c r="B759" s="12"/>
      <c r="C759" s="12"/>
      <c r="D759" s="15"/>
      <c r="E759" s="19"/>
      <c r="F759" s="19"/>
      <c r="G759" s="12"/>
    </row>
    <row r="760" spans="2:7" x14ac:dyDescent="0.25">
      <c r="B760" s="12"/>
      <c r="C760" s="12"/>
      <c r="D760" s="15"/>
      <c r="E760" s="19"/>
      <c r="F760" s="19"/>
      <c r="G760" s="12"/>
    </row>
    <row r="761" spans="2:7" x14ac:dyDescent="0.25">
      <c r="B761" s="12"/>
      <c r="C761" s="12"/>
      <c r="D761" s="15"/>
      <c r="E761" s="19"/>
      <c r="F761" s="19"/>
      <c r="G761" s="12"/>
    </row>
    <row r="762" spans="2:7" x14ac:dyDescent="0.25">
      <c r="B762" s="12"/>
      <c r="C762" s="12"/>
      <c r="D762" s="15"/>
      <c r="E762" s="19"/>
      <c r="F762" s="19"/>
      <c r="G762" s="12"/>
    </row>
    <row r="763" spans="2:7" x14ac:dyDescent="0.25">
      <c r="B763" s="12"/>
      <c r="C763" s="12"/>
      <c r="D763" s="15"/>
      <c r="E763" s="19"/>
      <c r="F763" s="19"/>
      <c r="G763" s="12"/>
    </row>
    <row r="764" spans="2:7" x14ac:dyDescent="0.25">
      <c r="B764" s="12"/>
      <c r="C764" s="12"/>
      <c r="D764" s="15"/>
      <c r="E764" s="19"/>
      <c r="F764" s="19"/>
      <c r="G764" s="12"/>
    </row>
    <row r="765" spans="2:7" x14ac:dyDescent="0.25">
      <c r="B765" s="12"/>
      <c r="C765" s="12"/>
      <c r="D765" s="15"/>
      <c r="E765" s="19"/>
      <c r="F765" s="19"/>
      <c r="G765" s="12"/>
    </row>
    <row r="766" spans="2:7" x14ac:dyDescent="0.25">
      <c r="B766" s="12"/>
      <c r="C766" s="12"/>
      <c r="D766" s="15"/>
      <c r="E766" s="19"/>
      <c r="F766" s="19"/>
      <c r="G766" s="12"/>
    </row>
    <row r="767" spans="2:7" x14ac:dyDescent="0.25">
      <c r="B767" s="12"/>
      <c r="C767" s="12"/>
      <c r="D767" s="15"/>
      <c r="E767" s="19"/>
      <c r="F767" s="19"/>
      <c r="G767" s="12"/>
    </row>
    <row r="768" spans="2:7" x14ac:dyDescent="0.25">
      <c r="B768" s="12"/>
      <c r="C768" s="12"/>
      <c r="D768" s="15"/>
      <c r="E768" s="19"/>
      <c r="F768" s="19"/>
      <c r="G768" s="12"/>
    </row>
    <row r="769" spans="2:7" x14ac:dyDescent="0.25">
      <c r="B769" s="12"/>
      <c r="C769" s="12"/>
      <c r="D769" s="15"/>
      <c r="E769" s="19"/>
      <c r="F769" s="19"/>
      <c r="G769" s="12"/>
    </row>
    <row r="770" spans="2:7" x14ac:dyDescent="0.25">
      <c r="B770" s="12"/>
      <c r="C770" s="12"/>
      <c r="D770" s="15"/>
      <c r="E770" s="19"/>
      <c r="F770" s="19"/>
      <c r="G770" s="12"/>
    </row>
    <row r="771" spans="2:7" x14ac:dyDescent="0.25">
      <c r="B771" s="12"/>
      <c r="C771" s="12"/>
      <c r="D771" s="15"/>
      <c r="E771" s="19"/>
      <c r="F771" s="19"/>
      <c r="G771" s="12"/>
    </row>
    <row r="772" spans="2:7" x14ac:dyDescent="0.25">
      <c r="B772" s="12"/>
      <c r="C772" s="12"/>
      <c r="D772" s="15"/>
      <c r="E772" s="19"/>
      <c r="F772" s="19"/>
      <c r="G772" s="12"/>
    </row>
    <row r="773" spans="2:7" x14ac:dyDescent="0.25">
      <c r="B773" s="12"/>
      <c r="C773" s="12"/>
      <c r="D773" s="15"/>
      <c r="E773" s="19"/>
      <c r="F773" s="19"/>
      <c r="G773" s="12"/>
    </row>
    <row r="774" spans="2:7" x14ac:dyDescent="0.25">
      <c r="B774" s="12"/>
      <c r="C774" s="12"/>
      <c r="D774" s="15"/>
      <c r="E774" s="19"/>
      <c r="F774" s="19"/>
      <c r="G774" s="12"/>
    </row>
    <row r="775" spans="2:7" x14ac:dyDescent="0.25">
      <c r="B775" s="12"/>
      <c r="C775" s="12"/>
      <c r="D775" s="15"/>
      <c r="E775" s="19"/>
      <c r="F775" s="19"/>
      <c r="G775" s="12"/>
    </row>
    <row r="776" spans="2:7" x14ac:dyDescent="0.25">
      <c r="B776" s="12"/>
      <c r="C776" s="12"/>
      <c r="D776" s="15"/>
      <c r="E776" s="19"/>
      <c r="F776" s="19"/>
      <c r="G776" s="12"/>
    </row>
    <row r="777" spans="2:7" x14ac:dyDescent="0.25">
      <c r="B777" s="12"/>
      <c r="C777" s="12"/>
      <c r="D777" s="15"/>
      <c r="E777" s="19"/>
      <c r="F777" s="19"/>
      <c r="G777" s="12"/>
    </row>
    <row r="778" spans="2:7" x14ac:dyDescent="0.25">
      <c r="B778" s="12"/>
      <c r="C778" s="12"/>
      <c r="D778" s="15"/>
      <c r="E778" s="19"/>
      <c r="F778" s="19"/>
      <c r="G778" s="12"/>
    </row>
    <row r="779" spans="2:7" x14ac:dyDescent="0.25">
      <c r="B779" s="12"/>
      <c r="C779" s="12"/>
      <c r="D779" s="15"/>
      <c r="E779" s="19"/>
      <c r="F779" s="19"/>
      <c r="G779" s="12"/>
    </row>
    <row r="780" spans="2:7" x14ac:dyDescent="0.25">
      <c r="B780" s="12"/>
      <c r="C780" s="12"/>
      <c r="D780" s="15"/>
      <c r="E780" s="19"/>
      <c r="F780" s="19"/>
      <c r="G780" s="12"/>
    </row>
    <row r="781" spans="2:7" x14ac:dyDescent="0.25">
      <c r="B781" s="12"/>
      <c r="C781" s="12"/>
      <c r="D781" s="15"/>
      <c r="E781" s="19"/>
      <c r="F781" s="19"/>
      <c r="G781" s="12"/>
    </row>
    <row r="782" spans="2:7" x14ac:dyDescent="0.25">
      <c r="B782" s="12"/>
      <c r="C782" s="12"/>
      <c r="D782" s="15"/>
      <c r="E782" s="19"/>
      <c r="F782" s="19"/>
      <c r="G782" s="12"/>
    </row>
    <row r="783" spans="2:7" x14ac:dyDescent="0.25">
      <c r="B783" s="12"/>
      <c r="C783" s="12"/>
      <c r="D783" s="15"/>
      <c r="E783" s="19"/>
      <c r="F783" s="19"/>
      <c r="G783" s="12"/>
    </row>
    <row r="784" spans="2:7" x14ac:dyDescent="0.25">
      <c r="B784" s="12"/>
      <c r="C784" s="12"/>
      <c r="D784" s="15"/>
      <c r="E784" s="19"/>
      <c r="F784" s="19"/>
      <c r="G784" s="12"/>
    </row>
    <row r="785" spans="2:7" x14ac:dyDescent="0.25">
      <c r="B785" s="12"/>
      <c r="C785" s="12"/>
      <c r="D785" s="15"/>
      <c r="E785" s="19"/>
      <c r="F785" s="19"/>
      <c r="G785" s="12"/>
    </row>
    <row r="786" spans="2:7" x14ac:dyDescent="0.25">
      <c r="B786" s="12"/>
      <c r="C786" s="12"/>
      <c r="D786" s="15"/>
      <c r="E786" s="19"/>
      <c r="F786" s="19"/>
      <c r="G786" s="12"/>
    </row>
    <row r="787" spans="2:7" x14ac:dyDescent="0.25">
      <c r="B787" s="12"/>
      <c r="C787" s="12"/>
      <c r="D787" s="15"/>
      <c r="E787" s="19"/>
      <c r="F787" s="19"/>
      <c r="G787" s="12"/>
    </row>
    <row r="788" spans="2:7" x14ac:dyDescent="0.25">
      <c r="B788" s="12"/>
      <c r="C788" s="12"/>
      <c r="D788" s="15"/>
      <c r="E788" s="19"/>
      <c r="F788" s="19"/>
      <c r="G788" s="12"/>
    </row>
    <row r="789" spans="2:7" x14ac:dyDescent="0.25">
      <c r="B789" s="12"/>
      <c r="C789" s="12"/>
      <c r="D789" s="15"/>
      <c r="E789" s="19"/>
      <c r="F789" s="19"/>
      <c r="G789" s="12"/>
    </row>
    <row r="790" spans="2:7" x14ac:dyDescent="0.25">
      <c r="B790" s="12"/>
      <c r="C790" s="12"/>
      <c r="D790" s="15"/>
      <c r="E790" s="19"/>
      <c r="F790" s="19"/>
      <c r="G790" s="12"/>
    </row>
    <row r="791" spans="2:7" x14ac:dyDescent="0.25">
      <c r="B791" s="12"/>
      <c r="C791" s="12"/>
      <c r="D791" s="15"/>
      <c r="E791" s="19"/>
      <c r="F791" s="19"/>
      <c r="G791" s="12"/>
    </row>
    <row r="792" spans="2:7" x14ac:dyDescent="0.25">
      <c r="B792" s="12"/>
      <c r="C792" s="12"/>
      <c r="D792" s="15"/>
      <c r="E792" s="19"/>
      <c r="F792" s="19"/>
      <c r="G792" s="12"/>
    </row>
    <row r="793" spans="2:7" x14ac:dyDescent="0.25">
      <c r="B793" s="12"/>
      <c r="C793" s="12"/>
      <c r="D793" s="15"/>
      <c r="E793" s="19"/>
      <c r="F793" s="19"/>
      <c r="G793" s="12"/>
    </row>
    <row r="794" spans="2:7" x14ac:dyDescent="0.25">
      <c r="B794" s="12"/>
      <c r="C794" s="12"/>
      <c r="D794" s="15"/>
      <c r="E794" s="19"/>
      <c r="F794" s="19"/>
      <c r="G794" s="12"/>
    </row>
    <row r="795" spans="2:7" x14ac:dyDescent="0.25">
      <c r="B795" s="12"/>
      <c r="C795" s="12"/>
      <c r="D795" s="15"/>
      <c r="E795" s="19"/>
      <c r="F795" s="19"/>
      <c r="G795" s="12"/>
    </row>
    <row r="796" spans="2:7" x14ac:dyDescent="0.25">
      <c r="B796" s="12"/>
      <c r="C796" s="12"/>
      <c r="D796" s="15"/>
      <c r="E796" s="19"/>
      <c r="F796" s="19"/>
      <c r="G796" s="12"/>
    </row>
    <row r="797" spans="2:7" x14ac:dyDescent="0.25">
      <c r="B797" s="12"/>
      <c r="C797" s="12"/>
      <c r="D797" s="15"/>
      <c r="E797" s="19"/>
      <c r="F797" s="19"/>
      <c r="G797" s="12"/>
    </row>
    <row r="798" spans="2:7" x14ac:dyDescent="0.25">
      <c r="B798" s="12"/>
      <c r="C798" s="12"/>
      <c r="D798" s="15"/>
      <c r="E798" s="19"/>
      <c r="F798" s="19"/>
      <c r="G798" s="12"/>
    </row>
    <row r="799" spans="2:7" x14ac:dyDescent="0.25">
      <c r="B799" s="12"/>
      <c r="C799" s="12"/>
      <c r="D799" s="15"/>
      <c r="E799" s="19"/>
      <c r="F799" s="19"/>
      <c r="G799" s="12"/>
    </row>
    <row r="800" spans="2:7" x14ac:dyDescent="0.25">
      <c r="B800" s="12"/>
      <c r="C800" s="12"/>
      <c r="D800" s="15"/>
      <c r="E800" s="19"/>
      <c r="F800" s="19"/>
      <c r="G800" s="12"/>
    </row>
    <row r="801" spans="2:7" x14ac:dyDescent="0.25">
      <c r="B801" s="12"/>
      <c r="C801" s="12"/>
      <c r="D801" s="15"/>
      <c r="E801" s="19"/>
      <c r="F801" s="19"/>
      <c r="G801" s="12"/>
    </row>
    <row r="802" spans="2:7" x14ac:dyDescent="0.25">
      <c r="B802" s="12"/>
      <c r="C802" s="12"/>
      <c r="D802" s="15"/>
      <c r="E802" s="19"/>
      <c r="F802" s="19"/>
      <c r="G802" s="12"/>
    </row>
    <row r="803" spans="2:7" x14ac:dyDescent="0.25">
      <c r="B803" s="12"/>
      <c r="C803" s="12"/>
      <c r="D803" s="15"/>
      <c r="E803" s="19"/>
      <c r="F803" s="19"/>
      <c r="G803" s="12"/>
    </row>
    <row r="804" spans="2:7" x14ac:dyDescent="0.25">
      <c r="B804" s="12"/>
      <c r="C804" s="12"/>
      <c r="D804" s="15"/>
      <c r="E804" s="19"/>
      <c r="F804" s="19"/>
      <c r="G804" s="12"/>
    </row>
    <row r="805" spans="2:7" x14ac:dyDescent="0.25">
      <c r="B805" s="12"/>
      <c r="C805" s="12"/>
      <c r="D805" s="15"/>
      <c r="E805" s="19"/>
      <c r="F805" s="19"/>
      <c r="G805" s="12"/>
    </row>
    <row r="806" spans="2:7" x14ac:dyDescent="0.25">
      <c r="B806" s="12"/>
      <c r="C806" s="12"/>
      <c r="D806" s="15"/>
      <c r="E806" s="19"/>
      <c r="F806" s="19"/>
      <c r="G806" s="12"/>
    </row>
    <row r="807" spans="2:7" x14ac:dyDescent="0.25">
      <c r="B807" s="12"/>
      <c r="C807" s="12"/>
      <c r="D807" s="15"/>
      <c r="E807" s="19"/>
      <c r="F807" s="19"/>
      <c r="G807" s="12"/>
    </row>
    <row r="808" spans="2:7" x14ac:dyDescent="0.25">
      <c r="B808" s="12"/>
      <c r="C808" s="12"/>
      <c r="D808" s="15"/>
      <c r="E808" s="19"/>
      <c r="F808" s="19"/>
      <c r="G808" s="12"/>
    </row>
    <row r="809" spans="2:7" x14ac:dyDescent="0.25">
      <c r="B809" s="12"/>
      <c r="C809" s="12"/>
      <c r="D809" s="15"/>
      <c r="E809" s="19"/>
      <c r="F809" s="19"/>
      <c r="G809" s="12"/>
    </row>
    <row r="810" spans="2:7" x14ac:dyDescent="0.25">
      <c r="B810" s="12"/>
      <c r="C810" s="12"/>
      <c r="D810" s="15"/>
      <c r="E810" s="19"/>
      <c r="F810" s="19"/>
      <c r="G810" s="12"/>
    </row>
    <row r="811" spans="2:7" x14ac:dyDescent="0.25">
      <c r="B811" s="12"/>
      <c r="C811" s="12"/>
      <c r="D811" s="15"/>
      <c r="E811" s="19"/>
      <c r="F811" s="19"/>
      <c r="G811" s="12"/>
    </row>
    <row r="812" spans="2:7" x14ac:dyDescent="0.25">
      <c r="B812" s="12"/>
      <c r="C812" s="12"/>
      <c r="D812" s="15"/>
      <c r="E812" s="19"/>
      <c r="F812" s="19"/>
      <c r="G812" s="12"/>
    </row>
    <row r="813" spans="2:7" x14ac:dyDescent="0.25">
      <c r="B813" s="12"/>
      <c r="C813" s="12"/>
      <c r="D813" s="15"/>
      <c r="E813" s="19"/>
      <c r="F813" s="19"/>
      <c r="G813" s="12"/>
    </row>
    <row r="814" spans="2:7" x14ac:dyDescent="0.25">
      <c r="B814" s="12"/>
      <c r="C814" s="12"/>
      <c r="D814" s="15"/>
      <c r="E814" s="19"/>
      <c r="F814" s="19"/>
      <c r="G814" s="12"/>
    </row>
    <row r="815" spans="2:7" x14ac:dyDescent="0.25">
      <c r="B815" s="12"/>
      <c r="C815" s="12"/>
      <c r="D815" s="15"/>
      <c r="E815" s="19"/>
      <c r="F815" s="19"/>
      <c r="G815" s="12"/>
    </row>
    <row r="816" spans="2:7" x14ac:dyDescent="0.25">
      <c r="B816" s="12"/>
      <c r="C816" s="12"/>
      <c r="D816" s="15"/>
      <c r="E816" s="19"/>
      <c r="F816" s="19"/>
      <c r="G816" s="12"/>
    </row>
    <row r="817" spans="2:7" x14ac:dyDescent="0.25">
      <c r="B817" s="12"/>
      <c r="C817" s="12"/>
      <c r="D817" s="15"/>
      <c r="E817" s="19"/>
      <c r="F817" s="19"/>
      <c r="G817" s="12"/>
    </row>
    <row r="818" spans="2:7" x14ac:dyDescent="0.25">
      <c r="B818" s="12"/>
      <c r="C818" s="12"/>
      <c r="D818" s="15"/>
      <c r="E818" s="19"/>
      <c r="F818" s="19"/>
      <c r="G818" s="12"/>
    </row>
    <row r="819" spans="2:7" x14ac:dyDescent="0.25">
      <c r="B819" s="12"/>
      <c r="C819" s="12"/>
      <c r="D819" s="15"/>
      <c r="E819" s="19"/>
      <c r="F819" s="19"/>
      <c r="G819" s="12"/>
    </row>
    <row r="820" spans="2:7" x14ac:dyDescent="0.25">
      <c r="B820" s="12"/>
      <c r="C820" s="12"/>
      <c r="D820" s="15"/>
      <c r="E820" s="19"/>
      <c r="F820" s="19"/>
      <c r="G820" s="12"/>
    </row>
    <row r="821" spans="2:7" x14ac:dyDescent="0.25">
      <c r="B821" s="12"/>
      <c r="C821" s="12"/>
      <c r="D821" s="15"/>
      <c r="E821" s="19"/>
      <c r="F821" s="19"/>
      <c r="G821" s="12"/>
    </row>
    <row r="822" spans="2:7" x14ac:dyDescent="0.25">
      <c r="B822" s="12"/>
      <c r="C822" s="12"/>
      <c r="D822" s="15"/>
      <c r="E822" s="19"/>
      <c r="F822" s="19"/>
      <c r="G822" s="12"/>
    </row>
    <row r="823" spans="2:7" x14ac:dyDescent="0.25">
      <c r="B823" s="12"/>
      <c r="C823" s="12"/>
      <c r="D823" s="15"/>
      <c r="E823" s="19"/>
      <c r="F823" s="19"/>
      <c r="G823" s="12"/>
    </row>
    <row r="824" spans="2:7" x14ac:dyDescent="0.25">
      <c r="B824" s="12"/>
      <c r="C824" s="12"/>
      <c r="D824" s="15"/>
      <c r="E824" s="19"/>
      <c r="F824" s="19"/>
      <c r="G824" s="12"/>
    </row>
    <row r="825" spans="2:7" x14ac:dyDescent="0.25">
      <c r="B825" s="12"/>
      <c r="C825" s="12"/>
      <c r="D825" s="15"/>
      <c r="E825" s="19"/>
      <c r="F825" s="19"/>
      <c r="G825" s="12"/>
    </row>
    <row r="826" spans="2:7" x14ac:dyDescent="0.25">
      <c r="B826" s="12"/>
      <c r="C826" s="12"/>
      <c r="D826" s="15"/>
      <c r="E826" s="19"/>
      <c r="F826" s="19"/>
      <c r="G826" s="12"/>
    </row>
    <row r="827" spans="2:7" x14ac:dyDescent="0.25">
      <c r="B827" s="12"/>
      <c r="C827" s="12"/>
      <c r="D827" s="15"/>
      <c r="E827" s="19"/>
      <c r="F827" s="19"/>
      <c r="G827" s="12"/>
    </row>
    <row r="828" spans="2:7" x14ac:dyDescent="0.25">
      <c r="B828" s="12"/>
      <c r="C828" s="12"/>
      <c r="D828" s="15"/>
      <c r="E828" s="19"/>
      <c r="F828" s="19"/>
      <c r="G828" s="12"/>
    </row>
    <row r="829" spans="2:7" x14ac:dyDescent="0.25">
      <c r="B829" s="12"/>
      <c r="C829" s="12"/>
      <c r="D829" s="15"/>
      <c r="E829" s="19"/>
      <c r="F829" s="19"/>
      <c r="G829" s="12"/>
    </row>
    <row r="830" spans="2:7" x14ac:dyDescent="0.25">
      <c r="B830" s="12"/>
      <c r="C830" s="12"/>
      <c r="D830" s="15"/>
      <c r="E830" s="19"/>
      <c r="F830" s="19"/>
      <c r="G830" s="12"/>
    </row>
    <row r="831" spans="2:7" x14ac:dyDescent="0.25">
      <c r="B831" s="12"/>
      <c r="C831" s="12"/>
      <c r="D831" s="15"/>
      <c r="E831" s="19"/>
      <c r="F831" s="19"/>
      <c r="G831" s="12"/>
    </row>
    <row r="832" spans="2:7" x14ac:dyDescent="0.25">
      <c r="B832" s="12"/>
      <c r="C832" s="12"/>
      <c r="D832" s="15"/>
      <c r="E832" s="19"/>
      <c r="F832" s="19"/>
      <c r="G832" s="12"/>
    </row>
    <row r="833" spans="2:7" x14ac:dyDescent="0.25">
      <c r="B833" s="12"/>
      <c r="C833" s="12"/>
      <c r="D833" s="15"/>
      <c r="E833" s="19"/>
      <c r="F833" s="19"/>
      <c r="G833" s="12"/>
    </row>
    <row r="834" spans="2:7" x14ac:dyDescent="0.25">
      <c r="B834" s="12"/>
      <c r="C834" s="12"/>
      <c r="D834" s="15"/>
      <c r="E834" s="19"/>
      <c r="F834" s="19"/>
      <c r="G834" s="12"/>
    </row>
    <row r="835" spans="2:7" x14ac:dyDescent="0.25">
      <c r="B835" s="12"/>
      <c r="C835" s="12"/>
      <c r="D835" s="15"/>
      <c r="E835" s="19"/>
      <c r="F835" s="19"/>
      <c r="G835" s="12"/>
    </row>
    <row r="836" spans="2:7" x14ac:dyDescent="0.25">
      <c r="B836" s="12"/>
      <c r="C836" s="12"/>
      <c r="D836" s="15"/>
      <c r="E836" s="19"/>
      <c r="F836" s="19"/>
      <c r="G836" s="12"/>
    </row>
    <row r="837" spans="2:7" x14ac:dyDescent="0.25">
      <c r="B837" s="12"/>
      <c r="C837" s="12"/>
      <c r="D837" s="15"/>
      <c r="E837" s="19"/>
      <c r="F837" s="19"/>
      <c r="G837" s="12"/>
    </row>
    <row r="838" spans="2:7" x14ac:dyDescent="0.25">
      <c r="B838" s="12"/>
      <c r="C838" s="12"/>
      <c r="D838" s="15"/>
      <c r="E838" s="19"/>
      <c r="F838" s="19"/>
      <c r="G838" s="12"/>
    </row>
    <row r="839" spans="2:7" x14ac:dyDescent="0.25">
      <c r="B839" s="12"/>
      <c r="C839" s="12"/>
      <c r="D839" s="15"/>
      <c r="E839" s="19"/>
      <c r="F839" s="19"/>
      <c r="G839" s="12"/>
    </row>
    <row r="840" spans="2:7" x14ac:dyDescent="0.25">
      <c r="B840" s="12"/>
      <c r="C840" s="12"/>
      <c r="D840" s="15"/>
      <c r="E840" s="19"/>
      <c r="F840" s="19"/>
      <c r="G840" s="12"/>
    </row>
    <row r="841" spans="2:7" x14ac:dyDescent="0.25">
      <c r="B841" s="12"/>
      <c r="C841" s="12"/>
      <c r="D841" s="15"/>
      <c r="E841" s="19"/>
      <c r="F841" s="19"/>
      <c r="G841" s="12"/>
    </row>
    <row r="842" spans="2:7" x14ac:dyDescent="0.25">
      <c r="B842" s="12"/>
      <c r="C842" s="12"/>
      <c r="D842" s="15"/>
      <c r="E842" s="19"/>
      <c r="F842" s="19"/>
      <c r="G842" s="12"/>
    </row>
    <row r="843" spans="2:7" x14ac:dyDescent="0.25">
      <c r="B843" s="12"/>
      <c r="C843" s="12"/>
      <c r="D843" s="15"/>
      <c r="E843" s="19"/>
      <c r="F843" s="19"/>
      <c r="G843" s="12"/>
    </row>
    <row r="844" spans="2:7" x14ac:dyDescent="0.25">
      <c r="B844" s="12"/>
      <c r="C844" s="12"/>
      <c r="D844" s="15"/>
      <c r="E844" s="19"/>
      <c r="F844" s="19"/>
      <c r="G844" s="12"/>
    </row>
    <row r="845" spans="2:7" x14ac:dyDescent="0.25">
      <c r="B845" s="12"/>
      <c r="C845" s="12"/>
      <c r="D845" s="15"/>
      <c r="E845" s="19"/>
      <c r="F845" s="19"/>
      <c r="G845" s="12"/>
    </row>
    <row r="846" spans="2:7" x14ac:dyDescent="0.25">
      <c r="B846" s="12"/>
      <c r="C846" s="12"/>
      <c r="D846" s="15"/>
      <c r="E846" s="19"/>
      <c r="F846" s="19"/>
      <c r="G846" s="12"/>
    </row>
    <row r="847" spans="2:7" x14ac:dyDescent="0.25">
      <c r="B847" s="12"/>
      <c r="C847" s="12"/>
      <c r="D847" s="15"/>
      <c r="E847" s="19"/>
      <c r="F847" s="19"/>
      <c r="G847" s="12"/>
    </row>
    <row r="848" spans="2:7" x14ac:dyDescent="0.25">
      <c r="B848" s="12"/>
      <c r="C848" s="12"/>
      <c r="D848" s="15"/>
      <c r="E848" s="19"/>
      <c r="F848" s="19"/>
      <c r="G848" s="12"/>
    </row>
    <row r="849" spans="2:7" x14ac:dyDescent="0.25">
      <c r="B849" s="12"/>
      <c r="C849" s="12"/>
      <c r="D849" s="15"/>
      <c r="E849" s="19"/>
      <c r="F849" s="19"/>
      <c r="G849" s="12"/>
    </row>
    <row r="850" spans="2:7" x14ac:dyDescent="0.25">
      <c r="B850" s="12"/>
      <c r="C850" s="12"/>
      <c r="D850" s="15"/>
      <c r="E850" s="19"/>
      <c r="F850" s="19"/>
      <c r="G850" s="12"/>
    </row>
    <row r="851" spans="2:7" x14ac:dyDescent="0.25">
      <c r="B851" s="12"/>
      <c r="C851" s="12"/>
      <c r="D851" s="15"/>
      <c r="E851" s="19"/>
      <c r="F851" s="19"/>
      <c r="G851" s="12"/>
    </row>
    <row r="852" spans="2:7" x14ac:dyDescent="0.25">
      <c r="B852" s="12"/>
      <c r="C852" s="12"/>
      <c r="D852" s="15"/>
      <c r="E852" s="19"/>
      <c r="F852" s="19"/>
      <c r="G852" s="12"/>
    </row>
    <row r="853" spans="2:7" x14ac:dyDescent="0.25">
      <c r="B853" s="12"/>
      <c r="C853" s="12"/>
      <c r="D853" s="15"/>
      <c r="E853" s="19"/>
      <c r="F853" s="19"/>
      <c r="G853" s="12"/>
    </row>
    <row r="854" spans="2:7" x14ac:dyDescent="0.25">
      <c r="B854" s="12"/>
      <c r="C854" s="12"/>
      <c r="D854" s="15"/>
      <c r="E854" s="19"/>
      <c r="F854" s="19"/>
      <c r="G854" s="12"/>
    </row>
    <row r="855" spans="2:7" x14ac:dyDescent="0.25">
      <c r="B855" s="12"/>
      <c r="C855" s="12"/>
      <c r="D855" s="15"/>
      <c r="E855" s="19"/>
      <c r="F855" s="19"/>
      <c r="G855" s="12"/>
    </row>
    <row r="856" spans="2:7" x14ac:dyDescent="0.25">
      <c r="B856" s="12"/>
      <c r="C856" s="12"/>
      <c r="D856" s="15"/>
      <c r="E856" s="19"/>
      <c r="F856" s="19"/>
      <c r="G856" s="12"/>
    </row>
    <row r="857" spans="2:7" x14ac:dyDescent="0.25">
      <c r="B857" s="12"/>
      <c r="C857" s="12"/>
      <c r="D857" s="15"/>
      <c r="E857" s="19"/>
      <c r="F857" s="19"/>
      <c r="G857" s="12"/>
    </row>
    <row r="858" spans="2:7" x14ac:dyDescent="0.25">
      <c r="B858" s="12"/>
      <c r="C858" s="12"/>
      <c r="D858" s="15"/>
      <c r="E858" s="19"/>
      <c r="F858" s="19"/>
      <c r="G858" s="12"/>
    </row>
    <row r="859" spans="2:7" x14ac:dyDescent="0.25">
      <c r="B859" s="12"/>
      <c r="C859" s="12"/>
      <c r="D859" s="15"/>
      <c r="E859" s="19"/>
      <c r="F859" s="19"/>
      <c r="G859" s="12"/>
    </row>
    <row r="860" spans="2:7" x14ac:dyDescent="0.25">
      <c r="B860" s="12"/>
      <c r="C860" s="12"/>
      <c r="D860" s="15"/>
      <c r="E860" s="19"/>
      <c r="F860" s="19"/>
      <c r="G860" s="12"/>
    </row>
    <row r="861" spans="2:7" x14ac:dyDescent="0.25">
      <c r="B861" s="12"/>
      <c r="C861" s="12"/>
      <c r="D861" s="15"/>
      <c r="E861" s="19"/>
      <c r="F861" s="19"/>
      <c r="G861" s="12"/>
    </row>
    <row r="862" spans="2:7" x14ac:dyDescent="0.25">
      <c r="B862" s="12"/>
      <c r="C862" s="12"/>
      <c r="D862" s="15"/>
      <c r="E862" s="19"/>
      <c r="F862" s="19"/>
      <c r="G862" s="12"/>
    </row>
    <row r="863" spans="2:7" x14ac:dyDescent="0.25">
      <c r="B863" s="12"/>
      <c r="C863" s="12"/>
      <c r="D863" s="15"/>
      <c r="E863" s="19"/>
      <c r="F863" s="19"/>
      <c r="G863" s="12"/>
    </row>
    <row r="864" spans="2:7" x14ac:dyDescent="0.25">
      <c r="B864" s="12"/>
      <c r="C864" s="12"/>
      <c r="D864" s="15"/>
      <c r="E864" s="19"/>
      <c r="F864" s="19"/>
      <c r="G864" s="12"/>
    </row>
    <row r="865" spans="2:7" x14ac:dyDescent="0.25">
      <c r="B865" s="12"/>
      <c r="C865" s="12"/>
      <c r="D865" s="15"/>
      <c r="E865" s="19"/>
      <c r="F865" s="19"/>
      <c r="G865" s="12"/>
    </row>
    <row r="866" spans="2:7" x14ac:dyDescent="0.25">
      <c r="B866" s="12"/>
      <c r="C866" s="12"/>
      <c r="D866" s="15"/>
      <c r="E866" s="19"/>
      <c r="F866" s="19"/>
      <c r="G866" s="12"/>
    </row>
    <row r="867" spans="2:7" x14ac:dyDescent="0.25">
      <c r="B867" s="12"/>
      <c r="C867" s="12"/>
      <c r="D867" s="15"/>
      <c r="E867" s="19"/>
      <c r="F867" s="19"/>
      <c r="G867" s="12"/>
    </row>
    <row r="868" spans="2:7" x14ac:dyDescent="0.25">
      <c r="B868" s="12"/>
      <c r="C868" s="12"/>
      <c r="D868" s="15"/>
      <c r="E868" s="19"/>
      <c r="F868" s="19"/>
      <c r="G868" s="12"/>
    </row>
    <row r="869" spans="2:7" x14ac:dyDescent="0.25">
      <c r="B869" s="12"/>
      <c r="C869" s="12"/>
      <c r="D869" s="15"/>
      <c r="E869" s="19"/>
      <c r="F869" s="19"/>
      <c r="G869" s="12"/>
    </row>
    <row r="870" spans="2:7" x14ac:dyDescent="0.25">
      <c r="B870" s="12"/>
      <c r="C870" s="12"/>
      <c r="D870" s="15"/>
      <c r="E870" s="19"/>
      <c r="F870" s="19"/>
      <c r="G870" s="12"/>
    </row>
    <row r="871" spans="2:7" x14ac:dyDescent="0.25">
      <c r="B871" s="12"/>
      <c r="C871" s="12"/>
      <c r="D871" s="15"/>
      <c r="E871" s="19"/>
      <c r="F871" s="19"/>
      <c r="G871" s="12"/>
    </row>
    <row r="872" spans="2:7" x14ac:dyDescent="0.25">
      <c r="B872" s="12"/>
      <c r="C872" s="12"/>
      <c r="D872" s="15"/>
      <c r="E872" s="19"/>
      <c r="F872" s="19"/>
      <c r="G872" s="12"/>
    </row>
    <row r="873" spans="2:7" x14ac:dyDescent="0.25">
      <c r="B873" s="12"/>
      <c r="C873" s="12"/>
      <c r="D873" s="15"/>
      <c r="E873" s="19"/>
      <c r="F873" s="19"/>
      <c r="G873" s="12"/>
    </row>
    <row r="874" spans="2:7" x14ac:dyDescent="0.25">
      <c r="B874" s="12"/>
      <c r="C874" s="12"/>
      <c r="D874" s="15"/>
      <c r="E874" s="19"/>
      <c r="F874" s="19"/>
      <c r="G874" s="12"/>
    </row>
    <row r="875" spans="2:7" x14ac:dyDescent="0.25">
      <c r="B875" s="12"/>
      <c r="C875" s="12"/>
      <c r="D875" s="15"/>
      <c r="E875" s="19"/>
      <c r="F875" s="19"/>
      <c r="G875" s="12"/>
    </row>
    <row r="876" spans="2:7" x14ac:dyDescent="0.25">
      <c r="B876" s="12"/>
      <c r="C876" s="12"/>
      <c r="D876" s="15"/>
      <c r="E876" s="19"/>
      <c r="F876" s="19"/>
      <c r="G876" s="12"/>
    </row>
    <row r="877" spans="2:7" x14ac:dyDescent="0.25">
      <c r="B877" s="12"/>
      <c r="C877" s="12"/>
      <c r="D877" s="15"/>
      <c r="E877" s="19"/>
      <c r="F877" s="19"/>
      <c r="G877" s="12"/>
    </row>
    <row r="878" spans="2:7" x14ac:dyDescent="0.25">
      <c r="B878" s="12"/>
      <c r="C878" s="12"/>
      <c r="D878" s="15"/>
      <c r="E878" s="19"/>
      <c r="F878" s="19"/>
      <c r="G878" s="12"/>
    </row>
    <row r="879" spans="2:7" x14ac:dyDescent="0.25">
      <c r="B879" s="12"/>
      <c r="C879" s="12"/>
      <c r="D879" s="15"/>
      <c r="E879" s="19"/>
      <c r="F879" s="19"/>
      <c r="G879" s="12"/>
    </row>
    <row r="880" spans="2:7" x14ac:dyDescent="0.25">
      <c r="B880" s="12"/>
      <c r="C880" s="12"/>
      <c r="D880" s="15"/>
      <c r="E880" s="19"/>
      <c r="F880" s="19"/>
      <c r="G880" s="12"/>
    </row>
    <row r="881" spans="2:7" x14ac:dyDescent="0.25">
      <c r="B881" s="12"/>
      <c r="C881" s="12"/>
      <c r="D881" s="15"/>
      <c r="E881" s="19"/>
      <c r="F881" s="19"/>
      <c r="G881" s="12"/>
    </row>
    <row r="882" spans="2:7" x14ac:dyDescent="0.25">
      <c r="B882" s="12"/>
      <c r="C882" s="12"/>
      <c r="D882" s="15"/>
      <c r="E882" s="19"/>
      <c r="F882" s="19"/>
      <c r="G882" s="12"/>
    </row>
    <row r="883" spans="2:7" x14ac:dyDescent="0.25">
      <c r="B883" s="12"/>
      <c r="C883" s="12"/>
      <c r="D883" s="15"/>
      <c r="E883" s="19"/>
      <c r="F883" s="19"/>
      <c r="G883" s="12"/>
    </row>
    <row r="884" spans="2:7" x14ac:dyDescent="0.25">
      <c r="B884" s="12"/>
      <c r="C884" s="12"/>
      <c r="D884" s="15"/>
      <c r="E884" s="19"/>
      <c r="F884" s="19"/>
      <c r="G884" s="12"/>
    </row>
    <row r="885" spans="2:7" x14ac:dyDescent="0.25">
      <c r="B885" s="12"/>
      <c r="C885" s="12"/>
      <c r="D885" s="15"/>
      <c r="E885" s="19"/>
      <c r="F885" s="19"/>
      <c r="G885" s="12"/>
    </row>
    <row r="886" spans="2:7" x14ac:dyDescent="0.25">
      <c r="B886" s="12"/>
      <c r="C886" s="12"/>
      <c r="D886" s="15"/>
      <c r="E886" s="19"/>
      <c r="F886" s="19"/>
      <c r="G886" s="12"/>
    </row>
    <row r="887" spans="2:7" x14ac:dyDescent="0.25">
      <c r="B887" s="12"/>
      <c r="C887" s="12"/>
      <c r="D887" s="15"/>
      <c r="E887" s="19"/>
      <c r="F887" s="19"/>
      <c r="G887" s="12"/>
    </row>
    <row r="888" spans="2:7" x14ac:dyDescent="0.25">
      <c r="B888" s="12"/>
      <c r="C888" s="12"/>
      <c r="D888" s="15"/>
      <c r="E888" s="19"/>
      <c r="F888" s="19"/>
      <c r="G888" s="12"/>
    </row>
    <row r="889" spans="2:7" x14ac:dyDescent="0.25">
      <c r="B889" s="12"/>
      <c r="C889" s="12"/>
      <c r="D889" s="15"/>
      <c r="E889" s="19"/>
      <c r="F889" s="19"/>
      <c r="G889" s="12"/>
    </row>
    <row r="890" spans="2:7" x14ac:dyDescent="0.25">
      <c r="B890" s="12"/>
      <c r="C890" s="12"/>
      <c r="D890" s="15"/>
      <c r="E890" s="19"/>
      <c r="F890" s="19"/>
      <c r="G890" s="12"/>
    </row>
    <row r="891" spans="2:7" x14ac:dyDescent="0.25">
      <c r="B891" s="12"/>
      <c r="C891" s="12"/>
      <c r="D891" s="15"/>
      <c r="E891" s="19"/>
      <c r="F891" s="19"/>
      <c r="G891" s="12"/>
    </row>
    <row r="892" spans="2:7" x14ac:dyDescent="0.25">
      <c r="B892" s="12"/>
      <c r="C892" s="12"/>
      <c r="D892" s="15"/>
      <c r="E892" s="19"/>
      <c r="F892" s="19"/>
      <c r="G892" s="12"/>
    </row>
    <row r="893" spans="2:7" x14ac:dyDescent="0.25">
      <c r="B893" s="12"/>
      <c r="C893" s="12"/>
      <c r="D893" s="15"/>
      <c r="E893" s="19"/>
      <c r="F893" s="19"/>
      <c r="G893" s="12"/>
    </row>
    <row r="894" spans="2:7" x14ac:dyDescent="0.25">
      <c r="B894" s="12"/>
      <c r="C894" s="12"/>
      <c r="D894" s="15"/>
      <c r="E894" s="19"/>
      <c r="F894" s="19"/>
      <c r="G894" s="12"/>
    </row>
    <row r="895" spans="2:7" x14ac:dyDescent="0.25">
      <c r="B895" s="12"/>
      <c r="C895" s="12"/>
      <c r="D895" s="15"/>
      <c r="E895" s="19"/>
      <c r="F895" s="19"/>
      <c r="G895" s="12"/>
    </row>
    <row r="896" spans="2:7" x14ac:dyDescent="0.25">
      <c r="B896" s="12"/>
      <c r="C896" s="12"/>
      <c r="D896" s="15"/>
      <c r="E896" s="19"/>
      <c r="F896" s="19"/>
      <c r="G896" s="12"/>
    </row>
    <row r="897" spans="2:7" x14ac:dyDescent="0.25">
      <c r="B897" s="12"/>
      <c r="C897" s="12"/>
      <c r="D897" s="15"/>
      <c r="E897" s="19"/>
      <c r="F897" s="19"/>
      <c r="G897" s="12"/>
    </row>
    <row r="898" spans="2:7" x14ac:dyDescent="0.25">
      <c r="B898" s="12"/>
      <c r="C898" s="12"/>
      <c r="D898" s="15"/>
      <c r="E898" s="19"/>
      <c r="F898" s="19"/>
      <c r="G898" s="12"/>
    </row>
    <row r="899" spans="2:7" x14ac:dyDescent="0.25">
      <c r="B899" s="12"/>
      <c r="C899" s="12"/>
      <c r="D899" s="15"/>
      <c r="E899" s="19"/>
      <c r="F899" s="19"/>
      <c r="G899" s="12"/>
    </row>
    <row r="900" spans="2:7" x14ac:dyDescent="0.25">
      <c r="B900" s="12"/>
      <c r="C900" s="12"/>
      <c r="D900" s="15"/>
      <c r="E900" s="19"/>
      <c r="F900" s="19"/>
      <c r="G900" s="12"/>
    </row>
    <row r="901" spans="2:7" x14ac:dyDescent="0.25">
      <c r="B901" s="12"/>
      <c r="C901" s="12"/>
      <c r="D901" s="15"/>
      <c r="E901" s="19"/>
      <c r="F901" s="19"/>
      <c r="G901" s="12"/>
    </row>
    <row r="902" spans="2:7" x14ac:dyDescent="0.25">
      <c r="B902" s="12"/>
      <c r="C902" s="12"/>
      <c r="D902" s="15"/>
      <c r="E902" s="19"/>
      <c r="F902" s="19"/>
      <c r="G902" s="12"/>
    </row>
    <row r="903" spans="2:7" x14ac:dyDescent="0.25">
      <c r="B903" s="12"/>
      <c r="C903" s="12"/>
      <c r="D903" s="15"/>
      <c r="E903" s="19"/>
      <c r="F903" s="19"/>
      <c r="G903" s="12"/>
    </row>
    <row r="904" spans="2:7" x14ac:dyDescent="0.25">
      <c r="B904" s="12"/>
      <c r="C904" s="12"/>
      <c r="D904" s="15"/>
      <c r="E904" s="19"/>
      <c r="F904" s="19"/>
      <c r="G904" s="12"/>
    </row>
    <row r="905" spans="2:7" x14ac:dyDescent="0.25">
      <c r="B905" s="12"/>
      <c r="C905" s="12"/>
      <c r="D905" s="15"/>
      <c r="E905" s="19"/>
      <c r="F905" s="19"/>
      <c r="G905" s="12"/>
    </row>
    <row r="906" spans="2:7" x14ac:dyDescent="0.25">
      <c r="B906" s="12"/>
      <c r="C906" s="12"/>
      <c r="D906" s="15"/>
      <c r="E906" s="19"/>
      <c r="F906" s="19"/>
      <c r="G906" s="12"/>
    </row>
    <row r="907" spans="2:7" x14ac:dyDescent="0.25">
      <c r="B907" s="12"/>
      <c r="C907" s="12"/>
      <c r="D907" s="15"/>
      <c r="E907" s="19"/>
      <c r="F907" s="19"/>
      <c r="G907" s="12"/>
    </row>
    <row r="908" spans="2:7" x14ac:dyDescent="0.25">
      <c r="B908" s="12"/>
      <c r="C908" s="12"/>
      <c r="D908" s="15"/>
      <c r="E908" s="19"/>
      <c r="F908" s="19"/>
      <c r="G908" s="12"/>
    </row>
    <row r="909" spans="2:7" x14ac:dyDescent="0.25">
      <c r="B909" s="12"/>
      <c r="C909" s="12"/>
      <c r="D909" s="15"/>
      <c r="E909" s="19"/>
      <c r="F909" s="19"/>
      <c r="G909" s="12"/>
    </row>
    <row r="910" spans="2:7" x14ac:dyDescent="0.25">
      <c r="B910" s="12"/>
      <c r="C910" s="12"/>
      <c r="D910" s="15"/>
      <c r="E910" s="19"/>
      <c r="F910" s="19"/>
      <c r="G910" s="12"/>
    </row>
    <row r="911" spans="2:7" x14ac:dyDescent="0.25">
      <c r="B911" s="12"/>
      <c r="C911" s="12"/>
      <c r="D911" s="15"/>
      <c r="E911" s="19"/>
      <c r="F911" s="19"/>
      <c r="G911" s="12"/>
    </row>
    <row r="912" spans="2:7" x14ac:dyDescent="0.25">
      <c r="B912" s="12"/>
      <c r="C912" s="12"/>
      <c r="D912" s="15"/>
      <c r="E912" s="19"/>
      <c r="F912" s="19"/>
      <c r="G912" s="12"/>
    </row>
    <row r="913" spans="2:7" x14ac:dyDescent="0.25">
      <c r="B913" s="12"/>
      <c r="C913" s="12"/>
      <c r="D913" s="15"/>
      <c r="E913" s="19"/>
      <c r="F913" s="19"/>
      <c r="G913" s="12"/>
    </row>
    <row r="914" spans="2:7" x14ac:dyDescent="0.25">
      <c r="B914" s="12"/>
      <c r="C914" s="12"/>
      <c r="D914" s="15"/>
      <c r="E914" s="19"/>
      <c r="F914" s="19"/>
      <c r="G914" s="12"/>
    </row>
    <row r="915" spans="2:7" x14ac:dyDescent="0.25">
      <c r="B915" s="12"/>
      <c r="C915" s="12"/>
      <c r="D915" s="15"/>
      <c r="E915" s="19"/>
      <c r="F915" s="19"/>
      <c r="G915" s="12"/>
    </row>
    <row r="916" spans="2:7" x14ac:dyDescent="0.25">
      <c r="B916" s="12"/>
      <c r="C916" s="12"/>
      <c r="D916" s="15"/>
      <c r="E916" s="19"/>
      <c r="F916" s="19"/>
      <c r="G916" s="12"/>
    </row>
    <row r="917" spans="2:7" x14ac:dyDescent="0.25">
      <c r="B917" s="12"/>
      <c r="C917" s="12"/>
      <c r="D917" s="15"/>
      <c r="E917" s="19"/>
      <c r="F917" s="19"/>
      <c r="G917" s="12"/>
    </row>
    <row r="918" spans="2:7" x14ac:dyDescent="0.25">
      <c r="B918" s="12"/>
      <c r="C918" s="12"/>
      <c r="D918" s="15"/>
      <c r="E918" s="19"/>
      <c r="F918" s="19"/>
      <c r="G918" s="12"/>
    </row>
    <row r="919" spans="2:7" x14ac:dyDescent="0.25">
      <c r="B919" s="12"/>
      <c r="C919" s="12"/>
      <c r="D919" s="15"/>
      <c r="E919" s="19"/>
      <c r="F919" s="19"/>
      <c r="G919" s="12"/>
    </row>
    <row r="920" spans="2:7" x14ac:dyDescent="0.25">
      <c r="B920" s="12"/>
      <c r="C920" s="12"/>
      <c r="D920" s="15"/>
      <c r="E920" s="19"/>
      <c r="F920" s="19"/>
      <c r="G920" s="12"/>
    </row>
    <row r="921" spans="2:7" x14ac:dyDescent="0.25">
      <c r="B921" s="12"/>
      <c r="C921" s="12"/>
      <c r="D921" s="15"/>
      <c r="E921" s="19"/>
      <c r="F921" s="19"/>
      <c r="G921" s="12"/>
    </row>
    <row r="922" spans="2:7" x14ac:dyDescent="0.25">
      <c r="B922" s="12"/>
      <c r="C922" s="12"/>
      <c r="D922" s="15"/>
      <c r="E922" s="19"/>
      <c r="F922" s="19"/>
      <c r="G922" s="12"/>
    </row>
    <row r="923" spans="2:7" x14ac:dyDescent="0.25">
      <c r="B923" s="12"/>
      <c r="C923" s="12"/>
      <c r="D923" s="15"/>
      <c r="E923" s="19"/>
      <c r="F923" s="19"/>
      <c r="G923" s="12"/>
    </row>
    <row r="924" spans="2:7" x14ac:dyDescent="0.25">
      <c r="B924" s="12"/>
      <c r="C924" s="12"/>
      <c r="D924" s="15"/>
      <c r="E924" s="19"/>
      <c r="F924" s="19"/>
      <c r="G924" s="12"/>
    </row>
    <row r="925" spans="2:7" x14ac:dyDescent="0.25">
      <c r="B925" s="12"/>
      <c r="C925" s="12"/>
      <c r="D925" s="15"/>
      <c r="E925" s="19"/>
      <c r="F925" s="19"/>
      <c r="G925" s="12"/>
    </row>
    <row r="926" spans="2:7" x14ac:dyDescent="0.25">
      <c r="B926" s="12"/>
      <c r="C926" s="12"/>
      <c r="D926" s="15"/>
      <c r="E926" s="19"/>
      <c r="F926" s="19"/>
      <c r="G926" s="12"/>
    </row>
    <row r="927" spans="2:7" x14ac:dyDescent="0.25">
      <c r="B927" s="12"/>
      <c r="C927" s="12"/>
      <c r="D927" s="15"/>
      <c r="E927" s="19"/>
      <c r="F927" s="19"/>
      <c r="G927" s="12"/>
    </row>
    <row r="928" spans="2:7" x14ac:dyDescent="0.25">
      <c r="B928" s="12"/>
      <c r="C928" s="12"/>
      <c r="D928" s="15"/>
      <c r="E928" s="19"/>
      <c r="F928" s="19"/>
      <c r="G928" s="12"/>
    </row>
    <row r="929" spans="2:7" x14ac:dyDescent="0.25">
      <c r="B929" s="12"/>
      <c r="C929" s="12"/>
      <c r="D929" s="15"/>
      <c r="E929" s="19"/>
      <c r="F929" s="19"/>
      <c r="G929" s="12"/>
    </row>
    <row r="930" spans="2:7" x14ac:dyDescent="0.25">
      <c r="B930" s="12"/>
      <c r="C930" s="12"/>
      <c r="D930" s="15"/>
      <c r="E930" s="19"/>
      <c r="F930" s="19"/>
      <c r="G930" s="12"/>
    </row>
    <row r="931" spans="2:7" x14ac:dyDescent="0.25">
      <c r="B931" s="12"/>
      <c r="C931" s="12"/>
      <c r="D931" s="15"/>
      <c r="E931" s="19"/>
      <c r="F931" s="19"/>
      <c r="G931" s="12"/>
    </row>
    <row r="932" spans="2:7" x14ac:dyDescent="0.25">
      <c r="B932" s="12"/>
      <c r="C932" s="12"/>
      <c r="D932" s="15"/>
      <c r="E932" s="19"/>
      <c r="F932" s="19"/>
      <c r="G932" s="12"/>
    </row>
    <row r="933" spans="2:7" x14ac:dyDescent="0.25">
      <c r="B933" s="12"/>
      <c r="C933" s="12"/>
      <c r="D933" s="15"/>
      <c r="E933" s="19"/>
      <c r="F933" s="19"/>
      <c r="G933" s="12"/>
    </row>
    <row r="934" spans="2:7" x14ac:dyDescent="0.25">
      <c r="B934" s="12"/>
      <c r="C934" s="12"/>
      <c r="D934" s="15"/>
      <c r="E934" s="19"/>
      <c r="F934" s="19"/>
      <c r="G934" s="12"/>
    </row>
    <row r="935" spans="2:7" x14ac:dyDescent="0.25">
      <c r="B935" s="12"/>
      <c r="C935" s="12"/>
      <c r="D935" s="15"/>
      <c r="E935" s="19"/>
      <c r="F935" s="19"/>
      <c r="G935" s="12"/>
    </row>
    <row r="936" spans="2:7" x14ac:dyDescent="0.25">
      <c r="B936" s="12"/>
      <c r="C936" s="12"/>
      <c r="D936" s="15"/>
      <c r="E936" s="19"/>
      <c r="F936" s="19"/>
      <c r="G936" s="12"/>
    </row>
    <row r="937" spans="2:7" x14ac:dyDescent="0.25">
      <c r="B937" s="12"/>
      <c r="C937" s="12"/>
      <c r="D937" s="15"/>
      <c r="E937" s="19"/>
      <c r="F937" s="19"/>
      <c r="G937" s="12"/>
    </row>
    <row r="938" spans="2:7" x14ac:dyDescent="0.25">
      <c r="B938" s="12"/>
      <c r="C938" s="12"/>
      <c r="D938" s="15"/>
      <c r="E938" s="19"/>
      <c r="F938" s="19"/>
      <c r="G938" s="12"/>
    </row>
    <row r="939" spans="2:7" x14ac:dyDescent="0.25">
      <c r="B939" s="12"/>
      <c r="C939" s="12"/>
      <c r="D939" s="15"/>
      <c r="E939" s="19"/>
      <c r="F939" s="19"/>
      <c r="G939" s="12"/>
    </row>
    <row r="940" spans="2:7" x14ac:dyDescent="0.25">
      <c r="B940" s="12"/>
      <c r="C940" s="12"/>
      <c r="D940" s="15"/>
      <c r="E940" s="19"/>
      <c r="F940" s="19"/>
      <c r="G940" s="12"/>
    </row>
    <row r="941" spans="2:7" x14ac:dyDescent="0.25">
      <c r="B941" s="12"/>
      <c r="C941" s="12"/>
      <c r="D941" s="15"/>
      <c r="E941" s="19"/>
      <c r="F941" s="19"/>
      <c r="G941" s="12"/>
    </row>
    <row r="942" spans="2:7" x14ac:dyDescent="0.25">
      <c r="B942" s="12"/>
      <c r="C942" s="12"/>
      <c r="D942" s="15"/>
      <c r="E942" s="19"/>
      <c r="F942" s="19"/>
      <c r="G942" s="12"/>
    </row>
    <row r="943" spans="2:7" x14ac:dyDescent="0.25">
      <c r="B943" s="12"/>
      <c r="C943" s="12"/>
      <c r="D943" s="15"/>
      <c r="E943" s="19"/>
      <c r="F943" s="19"/>
      <c r="G943" s="12"/>
    </row>
    <row r="944" spans="2:7" x14ac:dyDescent="0.25">
      <c r="B944" s="12"/>
      <c r="C944" s="12"/>
      <c r="D944" s="15"/>
      <c r="E944" s="19"/>
      <c r="F944" s="19"/>
      <c r="G944" s="12"/>
    </row>
    <row r="945" spans="2:7" x14ac:dyDescent="0.25">
      <c r="B945" s="12"/>
      <c r="C945" s="12"/>
      <c r="D945" s="15"/>
      <c r="E945" s="19"/>
      <c r="F945" s="19"/>
      <c r="G945" s="12"/>
    </row>
    <row r="946" spans="2:7" x14ac:dyDescent="0.25">
      <c r="B946" s="12"/>
      <c r="C946" s="12"/>
      <c r="D946" s="15"/>
      <c r="E946" s="19"/>
      <c r="F946" s="19"/>
      <c r="G946" s="12"/>
    </row>
    <row r="947" spans="2:7" x14ac:dyDescent="0.25">
      <c r="B947" s="12"/>
      <c r="C947" s="12"/>
      <c r="D947" s="15"/>
      <c r="E947" s="19"/>
      <c r="F947" s="19"/>
      <c r="G947" s="12"/>
    </row>
    <row r="948" spans="2:7" x14ac:dyDescent="0.25">
      <c r="B948" s="12"/>
      <c r="C948" s="12"/>
      <c r="D948" s="15"/>
      <c r="E948" s="19"/>
      <c r="F948" s="19"/>
      <c r="G948" s="12"/>
    </row>
    <row r="949" spans="2:7" x14ac:dyDescent="0.25">
      <c r="B949" s="12"/>
      <c r="C949" s="12"/>
      <c r="D949" s="15"/>
      <c r="E949" s="19"/>
      <c r="F949" s="19"/>
      <c r="G949" s="12"/>
    </row>
    <row r="950" spans="2:7" x14ac:dyDescent="0.25">
      <c r="B950" s="12"/>
      <c r="C950" s="12"/>
      <c r="D950" s="15"/>
      <c r="E950" s="19"/>
      <c r="F950" s="19"/>
      <c r="G950" s="12"/>
    </row>
    <row r="951" spans="2:7" x14ac:dyDescent="0.25">
      <c r="B951" s="12"/>
      <c r="C951" s="12"/>
      <c r="D951" s="15"/>
      <c r="E951" s="19"/>
      <c r="F951" s="19"/>
      <c r="G951" s="12"/>
    </row>
    <row r="952" spans="2:7" x14ac:dyDescent="0.25">
      <c r="B952" s="12"/>
      <c r="C952" s="12"/>
      <c r="D952" s="15"/>
      <c r="E952" s="19"/>
      <c r="F952" s="19"/>
      <c r="G952" s="12"/>
    </row>
    <row r="953" spans="2:7" x14ac:dyDescent="0.25">
      <c r="B953" s="12"/>
      <c r="C953" s="12"/>
      <c r="D953" s="15"/>
      <c r="E953" s="19"/>
      <c r="F953" s="19"/>
      <c r="G953" s="12"/>
    </row>
    <row r="954" spans="2:7" x14ac:dyDescent="0.25">
      <c r="B954" s="12"/>
      <c r="C954" s="12"/>
      <c r="D954" s="15"/>
      <c r="E954" s="19"/>
      <c r="F954" s="19"/>
      <c r="G954" s="12"/>
    </row>
    <row r="955" spans="2:7" x14ac:dyDescent="0.25">
      <c r="B955" s="12"/>
      <c r="C955" s="12"/>
      <c r="D955" s="15"/>
      <c r="E955" s="19"/>
      <c r="F955" s="19"/>
      <c r="G955" s="12"/>
    </row>
    <row r="956" spans="2:7" x14ac:dyDescent="0.25">
      <c r="B956" s="12"/>
      <c r="C956" s="12"/>
      <c r="D956" s="15"/>
      <c r="E956" s="19"/>
      <c r="F956" s="19"/>
      <c r="G956" s="12"/>
    </row>
    <row r="957" spans="2:7" x14ac:dyDescent="0.25">
      <c r="B957" s="12"/>
      <c r="C957" s="12"/>
      <c r="D957" s="15"/>
      <c r="E957" s="19"/>
      <c r="F957" s="19"/>
      <c r="G957" s="12"/>
    </row>
    <row r="958" spans="2:7" x14ac:dyDescent="0.25">
      <c r="B958" s="12"/>
      <c r="C958" s="12"/>
      <c r="D958" s="15"/>
      <c r="E958" s="19"/>
      <c r="F958" s="19"/>
      <c r="G958" s="12"/>
    </row>
    <row r="959" spans="2:7" x14ac:dyDescent="0.25">
      <c r="B959" s="12"/>
      <c r="C959" s="12"/>
      <c r="D959" s="15"/>
      <c r="E959" s="19"/>
      <c r="F959" s="19"/>
      <c r="G959" s="12"/>
    </row>
    <row r="960" spans="2:7" x14ac:dyDescent="0.25">
      <c r="B960" s="12"/>
      <c r="C960" s="12"/>
      <c r="D960" s="15"/>
      <c r="E960" s="19"/>
      <c r="F960" s="19"/>
      <c r="G960" s="12"/>
    </row>
    <row r="961" spans="2:7" x14ac:dyDescent="0.25">
      <c r="B961" s="12"/>
      <c r="C961" s="12"/>
      <c r="D961" s="15"/>
      <c r="E961" s="19"/>
      <c r="F961" s="19"/>
      <c r="G961" s="12"/>
    </row>
    <row r="962" spans="2:7" x14ac:dyDescent="0.25">
      <c r="B962" s="12"/>
      <c r="C962" s="12"/>
      <c r="D962" s="15"/>
      <c r="E962" s="19"/>
      <c r="F962" s="19"/>
      <c r="G962" s="12"/>
    </row>
    <row r="963" spans="2:7" x14ac:dyDescent="0.25">
      <c r="B963" s="12"/>
      <c r="C963" s="12"/>
      <c r="D963" s="15"/>
      <c r="E963" s="19"/>
      <c r="F963" s="19"/>
      <c r="G963" s="12"/>
    </row>
    <row r="964" spans="2:7" x14ac:dyDescent="0.25">
      <c r="B964" s="12"/>
      <c r="C964" s="12"/>
      <c r="D964" s="15"/>
      <c r="E964" s="19"/>
      <c r="F964" s="19"/>
      <c r="G964" s="12"/>
    </row>
    <row r="965" spans="2:7" x14ac:dyDescent="0.25">
      <c r="B965" s="12"/>
      <c r="C965" s="12"/>
      <c r="D965" s="15"/>
      <c r="E965" s="19"/>
      <c r="F965" s="19"/>
      <c r="G965" s="12"/>
    </row>
    <row r="966" spans="2:7" x14ac:dyDescent="0.25">
      <c r="B966" s="12"/>
      <c r="C966" s="12"/>
      <c r="D966" s="15"/>
      <c r="E966" s="19"/>
      <c r="F966" s="19"/>
      <c r="G966" s="12"/>
    </row>
    <row r="967" spans="2:7" x14ac:dyDescent="0.25">
      <c r="B967" s="12"/>
      <c r="C967" s="12"/>
      <c r="D967" s="15"/>
      <c r="E967" s="19"/>
      <c r="F967" s="19"/>
      <c r="G967" s="12"/>
    </row>
    <row r="968" spans="2:7" x14ac:dyDescent="0.25">
      <c r="B968" s="12"/>
      <c r="C968" s="12"/>
      <c r="D968" s="15"/>
      <c r="E968" s="19"/>
      <c r="F968" s="19"/>
      <c r="G968" s="12"/>
    </row>
    <row r="969" spans="2:7" x14ac:dyDescent="0.25">
      <c r="B969" s="12"/>
      <c r="C969" s="12"/>
      <c r="D969" s="15"/>
      <c r="E969" s="19"/>
      <c r="F969" s="19"/>
      <c r="G969" s="12"/>
    </row>
    <row r="970" spans="2:7" x14ac:dyDescent="0.25">
      <c r="B970" s="12"/>
      <c r="C970" s="12"/>
      <c r="D970" s="15"/>
      <c r="E970" s="19"/>
      <c r="F970" s="19"/>
      <c r="G970" s="12"/>
    </row>
    <row r="971" spans="2:7" x14ac:dyDescent="0.25">
      <c r="B971" s="12"/>
      <c r="C971" s="12"/>
      <c r="D971" s="15"/>
      <c r="E971" s="19"/>
      <c r="F971" s="19"/>
      <c r="G971" s="12"/>
    </row>
    <row r="972" spans="2:7" x14ac:dyDescent="0.25">
      <c r="B972" s="12"/>
      <c r="C972" s="12"/>
      <c r="D972" s="15"/>
      <c r="E972" s="19"/>
      <c r="F972" s="19"/>
      <c r="G972" s="12"/>
    </row>
    <row r="973" spans="2:7" x14ac:dyDescent="0.25">
      <c r="B973" s="12"/>
      <c r="C973" s="12"/>
      <c r="D973" s="15"/>
      <c r="E973" s="19"/>
      <c r="F973" s="19"/>
      <c r="G973" s="12"/>
    </row>
    <row r="974" spans="2:7" x14ac:dyDescent="0.25">
      <c r="B974" s="12"/>
      <c r="C974" s="12"/>
      <c r="D974" s="15"/>
      <c r="E974" s="19"/>
      <c r="F974" s="19"/>
      <c r="G974" s="12"/>
    </row>
    <row r="975" spans="2:7" x14ac:dyDescent="0.25">
      <c r="B975" s="12"/>
      <c r="C975" s="12"/>
      <c r="D975" s="15"/>
      <c r="E975" s="19"/>
      <c r="F975" s="19"/>
      <c r="G975" s="12"/>
    </row>
    <row r="976" spans="2:7" x14ac:dyDescent="0.25">
      <c r="B976" s="12"/>
      <c r="C976" s="12"/>
      <c r="D976" s="15"/>
      <c r="E976" s="19"/>
      <c r="F976" s="19"/>
      <c r="G976" s="12"/>
    </row>
    <row r="977" spans="2:7" x14ac:dyDescent="0.25">
      <c r="B977" s="12"/>
      <c r="C977" s="12"/>
      <c r="D977" s="15"/>
      <c r="E977" s="19"/>
      <c r="F977" s="19"/>
      <c r="G977" s="12"/>
    </row>
    <row r="978" spans="2:7" x14ac:dyDescent="0.25">
      <c r="B978" s="12"/>
      <c r="C978" s="12"/>
      <c r="D978" s="15"/>
      <c r="E978" s="19"/>
      <c r="F978" s="19"/>
      <c r="G978" s="12"/>
    </row>
    <row r="979" spans="2:7" x14ac:dyDescent="0.25">
      <c r="B979" s="12"/>
      <c r="C979" s="12"/>
      <c r="D979" s="15"/>
      <c r="E979" s="19"/>
      <c r="F979" s="19"/>
      <c r="G979" s="12"/>
    </row>
    <row r="980" spans="2:7" x14ac:dyDescent="0.25">
      <c r="B980" s="12"/>
      <c r="C980" s="12"/>
      <c r="D980" s="15"/>
      <c r="E980" s="19"/>
      <c r="F980" s="19"/>
      <c r="G980" s="12"/>
    </row>
    <row r="981" spans="2:7" x14ac:dyDescent="0.25">
      <c r="B981" s="12"/>
      <c r="C981" s="12"/>
      <c r="D981" s="15"/>
      <c r="E981" s="19"/>
      <c r="F981" s="19"/>
      <c r="G981" s="12"/>
    </row>
    <row r="982" spans="2:7" x14ac:dyDescent="0.25">
      <c r="B982" s="12"/>
      <c r="C982" s="12"/>
      <c r="D982" s="15"/>
      <c r="E982" s="19"/>
      <c r="F982" s="19"/>
      <c r="G982" s="12"/>
    </row>
    <row r="983" spans="2:7" x14ac:dyDescent="0.25">
      <c r="B983" s="12"/>
      <c r="C983" s="12"/>
      <c r="D983" s="15"/>
      <c r="E983" s="19"/>
      <c r="F983" s="19"/>
      <c r="G983" s="12"/>
    </row>
    <row r="984" spans="2:7" x14ac:dyDescent="0.25">
      <c r="B984" s="12"/>
      <c r="C984" s="12"/>
      <c r="D984" s="15"/>
      <c r="E984" s="19"/>
      <c r="F984" s="19"/>
      <c r="G984" s="12"/>
    </row>
    <row r="985" spans="2:7" x14ac:dyDescent="0.25">
      <c r="B985" s="12"/>
      <c r="C985" s="12"/>
      <c r="D985" s="15"/>
      <c r="E985" s="19"/>
      <c r="F985" s="19"/>
      <c r="G985" s="12"/>
    </row>
    <row r="986" spans="2:7" x14ac:dyDescent="0.25">
      <c r="B986" s="12"/>
      <c r="C986" s="12"/>
      <c r="D986" s="15"/>
      <c r="E986" s="19"/>
      <c r="F986" s="19"/>
      <c r="G986" s="12"/>
    </row>
    <row r="987" spans="2:7" x14ac:dyDescent="0.25">
      <c r="B987" s="12"/>
      <c r="C987" s="12"/>
      <c r="D987" s="15"/>
      <c r="E987" s="19"/>
      <c r="F987" s="19"/>
      <c r="G987" s="12"/>
    </row>
    <row r="988" spans="2:7" x14ac:dyDescent="0.25">
      <c r="B988" s="12"/>
      <c r="C988" s="12"/>
      <c r="D988" s="15"/>
      <c r="E988" s="19"/>
      <c r="F988" s="19"/>
      <c r="G988" s="12"/>
    </row>
    <row r="989" spans="2:7" x14ac:dyDescent="0.25">
      <c r="B989" s="12"/>
      <c r="C989" s="12"/>
      <c r="D989" s="15"/>
      <c r="E989" s="19"/>
      <c r="F989" s="19"/>
      <c r="G989" s="12"/>
    </row>
    <row r="990" spans="2:7" x14ac:dyDescent="0.25">
      <c r="B990" s="12"/>
      <c r="C990" s="12"/>
      <c r="D990" s="15"/>
      <c r="E990" s="19"/>
      <c r="F990" s="19"/>
      <c r="G990" s="12"/>
    </row>
    <row r="991" spans="2:7" x14ac:dyDescent="0.25">
      <c r="B991" s="12"/>
      <c r="C991" s="12"/>
      <c r="D991" s="15"/>
      <c r="E991" s="19"/>
      <c r="F991" s="19"/>
      <c r="G991" s="12"/>
    </row>
    <row r="992" spans="2:7" x14ac:dyDescent="0.25">
      <c r="B992" s="12"/>
      <c r="C992" s="12"/>
      <c r="D992" s="15"/>
      <c r="E992" s="19"/>
      <c r="F992" s="19"/>
      <c r="G992" s="12"/>
    </row>
    <row r="993" spans="2:7" x14ac:dyDescent="0.25">
      <c r="B993" s="12"/>
      <c r="C993" s="12"/>
      <c r="D993" s="15"/>
      <c r="E993" s="19"/>
      <c r="F993" s="19"/>
      <c r="G993" s="12"/>
    </row>
    <row r="994" spans="2:7" x14ac:dyDescent="0.25">
      <c r="B994" s="12"/>
      <c r="C994" s="12"/>
      <c r="D994" s="15"/>
      <c r="E994" s="19"/>
      <c r="F994" s="19"/>
      <c r="G994" s="12"/>
    </row>
    <row r="995" spans="2:7" x14ac:dyDescent="0.25">
      <c r="B995" s="12"/>
      <c r="C995" s="12"/>
      <c r="D995" s="15"/>
      <c r="E995" s="19"/>
      <c r="F995" s="19"/>
      <c r="G995" s="12"/>
    </row>
    <row r="996" spans="2:7" x14ac:dyDescent="0.25">
      <c r="B996" s="12"/>
      <c r="C996" s="12"/>
      <c r="D996" s="15"/>
      <c r="E996" s="19"/>
      <c r="F996" s="19"/>
      <c r="G996" s="12"/>
    </row>
    <row r="997" spans="2:7" x14ac:dyDescent="0.25">
      <c r="B997" s="12"/>
      <c r="C997" s="12"/>
      <c r="D997" s="15"/>
      <c r="E997" s="19"/>
      <c r="F997" s="19"/>
      <c r="G997" s="12"/>
    </row>
    <row r="998" spans="2:7" x14ac:dyDescent="0.25">
      <c r="B998" s="12"/>
      <c r="C998" s="12"/>
      <c r="D998" s="15"/>
      <c r="E998" s="19"/>
      <c r="F998" s="19"/>
      <c r="G998" s="12"/>
    </row>
    <row r="999" spans="2:7" x14ac:dyDescent="0.25">
      <c r="B999" s="12"/>
      <c r="C999" s="12"/>
      <c r="D999" s="15"/>
      <c r="E999" s="19"/>
      <c r="F999" s="19"/>
      <c r="G999" s="12"/>
    </row>
    <row r="1000" spans="2:7" x14ac:dyDescent="0.25">
      <c r="B1000" s="12"/>
      <c r="C1000" s="12"/>
      <c r="D1000" s="15"/>
      <c r="E1000" s="19"/>
      <c r="F1000" s="19"/>
      <c r="G1000" s="12"/>
    </row>
    <row r="1001" spans="2:7" x14ac:dyDescent="0.25">
      <c r="B1001" s="12"/>
      <c r="C1001" s="12"/>
      <c r="D1001" s="15"/>
      <c r="E1001" s="19"/>
      <c r="F1001" s="19"/>
      <c r="G1001" s="12"/>
    </row>
    <row r="1002" spans="2:7" x14ac:dyDescent="0.25">
      <c r="B1002" s="12"/>
      <c r="C1002" s="12"/>
      <c r="D1002" s="15"/>
      <c r="E1002" s="19"/>
      <c r="F1002" s="19"/>
      <c r="G1002" s="12"/>
    </row>
    <row r="1003" spans="2:7" x14ac:dyDescent="0.25">
      <c r="B1003" s="12"/>
      <c r="C1003" s="12"/>
      <c r="D1003" s="15"/>
      <c r="E1003" s="19"/>
      <c r="F1003" s="19"/>
      <c r="G1003" s="12"/>
    </row>
    <row r="1004" spans="2:7" x14ac:dyDescent="0.25">
      <c r="B1004" s="12"/>
      <c r="C1004" s="12"/>
      <c r="D1004" s="15"/>
      <c r="E1004" s="19"/>
      <c r="F1004" s="19"/>
      <c r="G1004" s="12"/>
    </row>
    <row r="1005" spans="2:7" x14ac:dyDescent="0.25">
      <c r="B1005" s="12"/>
      <c r="C1005" s="12"/>
      <c r="D1005" s="15"/>
      <c r="E1005" s="19"/>
      <c r="F1005" s="19"/>
      <c r="G1005" s="12"/>
    </row>
    <row r="1006" spans="2:7" x14ac:dyDescent="0.25">
      <c r="B1006" s="12"/>
      <c r="C1006" s="12"/>
      <c r="D1006" s="15"/>
      <c r="E1006" s="19"/>
      <c r="F1006" s="19"/>
      <c r="G1006" s="12"/>
    </row>
    <row r="1007" spans="2:7" x14ac:dyDescent="0.25">
      <c r="B1007" s="12"/>
      <c r="C1007" s="12"/>
      <c r="D1007" s="15"/>
      <c r="E1007" s="19"/>
      <c r="F1007" s="19"/>
      <c r="G1007" s="12"/>
    </row>
    <row r="1008" spans="2:7" x14ac:dyDescent="0.25">
      <c r="B1008" s="12"/>
      <c r="C1008" s="12"/>
      <c r="D1008" s="15"/>
      <c r="E1008" s="19"/>
      <c r="F1008" s="19"/>
      <c r="G1008" s="12"/>
    </row>
    <row r="1009" spans="2:7" x14ac:dyDescent="0.25">
      <c r="B1009" s="12"/>
      <c r="C1009" s="12"/>
      <c r="D1009" s="15"/>
      <c r="E1009" s="19"/>
      <c r="F1009" s="19"/>
      <c r="G1009" s="12"/>
    </row>
    <row r="1010" spans="2:7" x14ac:dyDescent="0.25">
      <c r="B1010" s="12"/>
      <c r="C1010" s="12"/>
      <c r="D1010" s="15"/>
      <c r="E1010" s="19"/>
      <c r="F1010" s="19"/>
      <c r="G1010" s="12"/>
    </row>
    <row r="1011" spans="2:7" x14ac:dyDescent="0.25">
      <c r="B1011" s="12"/>
      <c r="C1011" s="12"/>
      <c r="D1011" s="15"/>
      <c r="E1011" s="19"/>
      <c r="F1011" s="19"/>
      <c r="G1011" s="12"/>
    </row>
    <row r="1012" spans="2:7" x14ac:dyDescent="0.25">
      <c r="B1012" s="12"/>
      <c r="C1012" s="12"/>
      <c r="D1012" s="15"/>
      <c r="E1012" s="19"/>
      <c r="F1012" s="19"/>
      <c r="G1012" s="12"/>
    </row>
    <row r="1013" spans="2:7" x14ac:dyDescent="0.25">
      <c r="B1013" s="12"/>
      <c r="C1013" s="12"/>
      <c r="D1013" s="15"/>
      <c r="E1013" s="19"/>
      <c r="F1013" s="19"/>
      <c r="G1013" s="12"/>
    </row>
    <row r="1014" spans="2:7" x14ac:dyDescent="0.25">
      <c r="B1014" s="12"/>
      <c r="C1014" s="12"/>
      <c r="D1014" s="15"/>
      <c r="E1014" s="19"/>
      <c r="F1014" s="19"/>
      <c r="G1014" s="12"/>
    </row>
    <row r="1015" spans="2:7" x14ac:dyDescent="0.25">
      <c r="B1015" s="12"/>
      <c r="C1015" s="12"/>
      <c r="D1015" s="15"/>
      <c r="E1015" s="19"/>
      <c r="F1015" s="19"/>
      <c r="G1015" s="12"/>
    </row>
    <row r="1016" spans="2:7" x14ac:dyDescent="0.25">
      <c r="B1016" s="12"/>
      <c r="C1016" s="12"/>
      <c r="D1016" s="15"/>
      <c r="E1016" s="19"/>
      <c r="F1016" s="19"/>
      <c r="G1016" s="12"/>
    </row>
    <row r="1017" spans="2:7" x14ac:dyDescent="0.25">
      <c r="B1017" s="12"/>
      <c r="C1017" s="12"/>
      <c r="D1017" s="15"/>
      <c r="E1017" s="19"/>
      <c r="F1017" s="19"/>
      <c r="G1017" s="12"/>
    </row>
    <row r="1018" spans="2:7" x14ac:dyDescent="0.25">
      <c r="B1018" s="12"/>
      <c r="C1018" s="12"/>
      <c r="D1018" s="15"/>
      <c r="E1018" s="19"/>
      <c r="F1018" s="19"/>
      <c r="G1018" s="12"/>
    </row>
    <row r="1019" spans="2:7" x14ac:dyDescent="0.25">
      <c r="B1019" s="12"/>
      <c r="C1019" s="12"/>
      <c r="D1019" s="15"/>
      <c r="E1019" s="19"/>
      <c r="F1019" s="19"/>
      <c r="G1019" s="12"/>
    </row>
    <row r="1020" spans="2:7" x14ac:dyDescent="0.25">
      <c r="B1020" s="12"/>
      <c r="C1020" s="12"/>
      <c r="D1020" s="15"/>
      <c r="E1020" s="19"/>
      <c r="F1020" s="19"/>
      <c r="G1020" s="12"/>
    </row>
    <row r="1021" spans="2:7" x14ac:dyDescent="0.25">
      <c r="B1021" s="12"/>
      <c r="C1021" s="12"/>
      <c r="D1021" s="15"/>
      <c r="E1021" s="19"/>
      <c r="F1021" s="19"/>
      <c r="G1021" s="12"/>
    </row>
    <row r="1022" spans="2:7" x14ac:dyDescent="0.25">
      <c r="B1022" s="12"/>
      <c r="C1022" s="12"/>
      <c r="D1022" s="15"/>
      <c r="E1022" s="19"/>
      <c r="F1022" s="19"/>
      <c r="G1022" s="12"/>
    </row>
    <row r="1023" spans="2:7" x14ac:dyDescent="0.25">
      <c r="B1023" s="12"/>
      <c r="C1023" s="12"/>
      <c r="D1023" s="15"/>
      <c r="E1023" s="19"/>
      <c r="F1023" s="19"/>
      <c r="G1023" s="12"/>
    </row>
    <row r="1024" spans="2:7" x14ac:dyDescent="0.25">
      <c r="B1024" s="12"/>
      <c r="C1024" s="12"/>
      <c r="D1024" s="15"/>
      <c r="E1024" s="19"/>
      <c r="F1024" s="19"/>
      <c r="G1024" s="12"/>
    </row>
    <row r="1025" spans="2:7" x14ac:dyDescent="0.25">
      <c r="B1025" s="12"/>
      <c r="C1025" s="12"/>
      <c r="D1025" s="15"/>
      <c r="E1025" s="19"/>
      <c r="F1025" s="19"/>
      <c r="G1025" s="12"/>
    </row>
    <row r="1026" spans="2:7" x14ac:dyDescent="0.25">
      <c r="B1026" s="12"/>
      <c r="C1026" s="12"/>
      <c r="D1026" s="15"/>
      <c r="E1026" s="19"/>
      <c r="F1026" s="19"/>
      <c r="G1026" s="12"/>
    </row>
    <row r="1027" spans="2:7" x14ac:dyDescent="0.25">
      <c r="B1027" s="12"/>
      <c r="C1027" s="12"/>
      <c r="D1027" s="15"/>
      <c r="E1027" s="19"/>
      <c r="F1027" s="19"/>
      <c r="G1027" s="12"/>
    </row>
    <row r="1028" spans="2:7" x14ac:dyDescent="0.25">
      <c r="B1028" s="12"/>
      <c r="C1028" s="12"/>
      <c r="D1028" s="15"/>
      <c r="E1028" s="19"/>
      <c r="F1028" s="19"/>
      <c r="G1028" s="12"/>
    </row>
    <row r="1029" spans="2:7" x14ac:dyDescent="0.25">
      <c r="B1029" s="12"/>
      <c r="C1029" s="12"/>
      <c r="D1029" s="15"/>
      <c r="E1029" s="19"/>
      <c r="F1029" s="19"/>
      <c r="G1029" s="12"/>
    </row>
    <row r="1030" spans="2:7" x14ac:dyDescent="0.25">
      <c r="B1030" s="12"/>
      <c r="C1030" s="12"/>
      <c r="D1030" s="15"/>
      <c r="E1030" s="19"/>
      <c r="F1030" s="19"/>
      <c r="G1030" s="12"/>
    </row>
    <row r="1031" spans="2:7" x14ac:dyDescent="0.25">
      <c r="B1031" s="12"/>
      <c r="C1031" s="12"/>
      <c r="D1031" s="15"/>
      <c r="E1031" s="19"/>
      <c r="F1031" s="19"/>
      <c r="G1031" s="12"/>
    </row>
    <row r="1032" spans="2:7" x14ac:dyDescent="0.25">
      <c r="B1032" s="12"/>
      <c r="C1032" s="12"/>
      <c r="D1032" s="15"/>
      <c r="E1032" s="19"/>
      <c r="F1032" s="19"/>
      <c r="G1032" s="12"/>
    </row>
    <row r="1033" spans="2:7" x14ac:dyDescent="0.25">
      <c r="B1033" s="12"/>
      <c r="C1033" s="12"/>
      <c r="D1033" s="15"/>
      <c r="E1033" s="19"/>
      <c r="F1033" s="19"/>
      <c r="G1033" s="12"/>
    </row>
    <row r="1034" spans="2:7" x14ac:dyDescent="0.25">
      <c r="B1034" s="12"/>
      <c r="C1034" s="12"/>
      <c r="D1034" s="15"/>
      <c r="E1034" s="19"/>
      <c r="F1034" s="19"/>
      <c r="G1034" s="12"/>
    </row>
    <row r="1035" spans="2:7" x14ac:dyDescent="0.25">
      <c r="B1035" s="12"/>
      <c r="C1035" s="12"/>
      <c r="D1035" s="15"/>
      <c r="E1035" s="19"/>
      <c r="F1035" s="19"/>
      <c r="G1035" s="12"/>
    </row>
    <row r="1036" spans="2:7" x14ac:dyDescent="0.25">
      <c r="B1036" s="12"/>
      <c r="C1036" s="12"/>
      <c r="D1036" s="15"/>
      <c r="E1036" s="19"/>
      <c r="F1036" s="19"/>
      <c r="G1036" s="12"/>
    </row>
    <row r="1037" spans="2:7" x14ac:dyDescent="0.25">
      <c r="B1037" s="12"/>
      <c r="C1037" s="12"/>
      <c r="D1037" s="15"/>
      <c r="E1037" s="19"/>
      <c r="F1037" s="19"/>
      <c r="G1037" s="12"/>
    </row>
    <row r="1038" spans="2:7" x14ac:dyDescent="0.25">
      <c r="B1038" s="12"/>
      <c r="C1038" s="12"/>
      <c r="D1038" s="15"/>
      <c r="E1038" s="19"/>
      <c r="F1038" s="19"/>
      <c r="G1038" s="12"/>
    </row>
    <row r="1039" spans="2:7" x14ac:dyDescent="0.25">
      <c r="B1039" s="12"/>
      <c r="C1039" s="12"/>
      <c r="D1039" s="15"/>
      <c r="E1039" s="19"/>
      <c r="F1039" s="19"/>
      <c r="G1039" s="12"/>
    </row>
    <row r="1040" spans="2:7" x14ac:dyDescent="0.25">
      <c r="B1040" s="12"/>
      <c r="C1040" s="12"/>
      <c r="D1040" s="15"/>
      <c r="E1040" s="19"/>
      <c r="F1040" s="19"/>
      <c r="G1040" s="12"/>
    </row>
    <row r="1041" spans="2:7" x14ac:dyDescent="0.25">
      <c r="B1041" s="12"/>
      <c r="C1041" s="12"/>
      <c r="D1041" s="15"/>
      <c r="E1041" s="19"/>
      <c r="F1041" s="19"/>
      <c r="G1041" s="12"/>
    </row>
    <row r="1042" spans="2:7" x14ac:dyDescent="0.25">
      <c r="B1042" s="12"/>
      <c r="C1042" s="12"/>
      <c r="D1042" s="15"/>
      <c r="E1042" s="19"/>
      <c r="F1042" s="19"/>
      <c r="G1042" s="12"/>
    </row>
    <row r="1043" spans="2:7" x14ac:dyDescent="0.25">
      <c r="B1043" s="12"/>
      <c r="C1043" s="12"/>
      <c r="D1043" s="15"/>
      <c r="E1043" s="19"/>
      <c r="F1043" s="19"/>
      <c r="G1043" s="12"/>
    </row>
    <row r="1044" spans="2:7" x14ac:dyDescent="0.25">
      <c r="B1044" s="12"/>
      <c r="C1044" s="12"/>
      <c r="D1044" s="15"/>
      <c r="E1044" s="19"/>
      <c r="F1044" s="19"/>
      <c r="G1044" s="12"/>
    </row>
    <row r="1045" spans="2:7" x14ac:dyDescent="0.25">
      <c r="B1045" s="12"/>
      <c r="C1045" s="12"/>
      <c r="D1045" s="15"/>
      <c r="E1045" s="19"/>
      <c r="F1045" s="19"/>
      <c r="G1045" s="12"/>
    </row>
    <row r="1046" spans="2:7" x14ac:dyDescent="0.25">
      <c r="B1046" s="12"/>
      <c r="C1046" s="12"/>
      <c r="D1046" s="15"/>
      <c r="E1046" s="19"/>
      <c r="F1046" s="19"/>
      <c r="G1046" s="12"/>
    </row>
    <row r="1047" spans="2:7" x14ac:dyDescent="0.25">
      <c r="B1047" s="12"/>
      <c r="C1047" s="12"/>
      <c r="D1047" s="15"/>
      <c r="E1047" s="19"/>
      <c r="F1047" s="19"/>
      <c r="G1047" s="12"/>
    </row>
    <row r="1048" spans="2:7" x14ac:dyDescent="0.25">
      <c r="B1048" s="12"/>
      <c r="C1048" s="12"/>
      <c r="D1048" s="15"/>
      <c r="E1048" s="19"/>
      <c r="F1048" s="19"/>
      <c r="G1048" s="12"/>
    </row>
    <row r="1049" spans="2:7" x14ac:dyDescent="0.25">
      <c r="B1049" s="12"/>
      <c r="C1049" s="12"/>
      <c r="D1049" s="15"/>
      <c r="E1049" s="19"/>
      <c r="F1049" s="19"/>
      <c r="G1049" s="12"/>
    </row>
    <row r="1050" spans="2:7" x14ac:dyDescent="0.25">
      <c r="B1050" s="12"/>
      <c r="C1050" s="12"/>
      <c r="D1050" s="15"/>
      <c r="E1050" s="19"/>
      <c r="F1050" s="19"/>
      <c r="G1050" s="12"/>
    </row>
    <row r="1051" spans="2:7" x14ac:dyDescent="0.25">
      <c r="B1051" s="12"/>
      <c r="C1051" s="12"/>
      <c r="D1051" s="15"/>
      <c r="E1051" s="19"/>
      <c r="F1051" s="19"/>
      <c r="G1051" s="12"/>
    </row>
    <row r="1052" spans="2:7" x14ac:dyDescent="0.25">
      <c r="B1052" s="12"/>
      <c r="C1052" s="12"/>
      <c r="D1052" s="15"/>
      <c r="E1052" s="19"/>
      <c r="F1052" s="19"/>
      <c r="G1052" s="12"/>
    </row>
    <row r="1053" spans="2:7" x14ac:dyDescent="0.25">
      <c r="B1053" s="12"/>
      <c r="C1053" s="12"/>
      <c r="D1053" s="15"/>
      <c r="E1053" s="19"/>
      <c r="F1053" s="19"/>
      <c r="G1053" s="12"/>
    </row>
    <row r="1054" spans="2:7" x14ac:dyDescent="0.25">
      <c r="B1054" s="12"/>
      <c r="C1054" s="12"/>
      <c r="D1054" s="15"/>
      <c r="E1054" s="19"/>
      <c r="F1054" s="19"/>
      <c r="G1054" s="12"/>
    </row>
    <row r="1055" spans="2:7" x14ac:dyDescent="0.25">
      <c r="B1055" s="12"/>
      <c r="C1055" s="12"/>
      <c r="D1055" s="15"/>
      <c r="E1055" s="19"/>
      <c r="F1055" s="19"/>
      <c r="G1055" s="12"/>
    </row>
    <row r="1056" spans="2:7" x14ac:dyDescent="0.25">
      <c r="B1056" s="12"/>
      <c r="C1056" s="12"/>
      <c r="D1056" s="15"/>
      <c r="E1056" s="19"/>
      <c r="F1056" s="19"/>
      <c r="G1056" s="12"/>
    </row>
    <row r="1057" spans="2:7" x14ac:dyDescent="0.25">
      <c r="B1057" s="12"/>
      <c r="C1057" s="12"/>
      <c r="D1057" s="15"/>
      <c r="E1057" s="19"/>
      <c r="F1057" s="19"/>
      <c r="G1057" s="12"/>
    </row>
    <row r="1058" spans="2:7" x14ac:dyDescent="0.25">
      <c r="B1058" s="12"/>
      <c r="C1058" s="12"/>
      <c r="D1058" s="15"/>
      <c r="E1058" s="19"/>
      <c r="F1058" s="19"/>
      <c r="G1058" s="12"/>
    </row>
    <row r="1059" spans="2:7" x14ac:dyDescent="0.25">
      <c r="B1059" s="12"/>
      <c r="C1059" s="12"/>
      <c r="D1059" s="15"/>
      <c r="E1059" s="19"/>
      <c r="F1059" s="19"/>
      <c r="G1059" s="12"/>
    </row>
    <row r="1060" spans="2:7" x14ac:dyDescent="0.25">
      <c r="B1060" s="12"/>
      <c r="C1060" s="12"/>
      <c r="D1060" s="15"/>
      <c r="E1060" s="19"/>
      <c r="F1060" s="19"/>
      <c r="G1060" s="12"/>
    </row>
    <row r="1061" spans="2:7" x14ac:dyDescent="0.25">
      <c r="B1061" s="12"/>
      <c r="C1061" s="12"/>
      <c r="D1061" s="15"/>
      <c r="E1061" s="19"/>
      <c r="F1061" s="19"/>
      <c r="G1061" s="12"/>
    </row>
    <row r="1062" spans="2:7" x14ac:dyDescent="0.25">
      <c r="B1062" s="12"/>
      <c r="C1062" s="12"/>
      <c r="D1062" s="15"/>
      <c r="E1062" s="19"/>
      <c r="F1062" s="19"/>
      <c r="G1062" s="12"/>
    </row>
    <row r="1063" spans="2:7" x14ac:dyDescent="0.25">
      <c r="B1063" s="12"/>
      <c r="C1063" s="12"/>
      <c r="D1063" s="15"/>
      <c r="E1063" s="19"/>
      <c r="F1063" s="19"/>
      <c r="G1063" s="12"/>
    </row>
    <row r="1064" spans="2:7" x14ac:dyDescent="0.25">
      <c r="B1064" s="12"/>
      <c r="C1064" s="12"/>
      <c r="D1064" s="15"/>
      <c r="E1064" s="19"/>
      <c r="F1064" s="19"/>
      <c r="G1064" s="12"/>
    </row>
    <row r="1065" spans="2:7" x14ac:dyDescent="0.25">
      <c r="B1065" s="12"/>
      <c r="C1065" s="12"/>
      <c r="D1065" s="15"/>
      <c r="E1065" s="19"/>
      <c r="F1065" s="19"/>
      <c r="G1065" s="12"/>
    </row>
    <row r="1066" spans="2:7" x14ac:dyDescent="0.25">
      <c r="B1066" s="12"/>
      <c r="C1066" s="12"/>
      <c r="D1066" s="15"/>
      <c r="E1066" s="19"/>
      <c r="F1066" s="19"/>
      <c r="G1066" s="12"/>
    </row>
    <row r="1067" spans="2:7" x14ac:dyDescent="0.25">
      <c r="B1067" s="12"/>
      <c r="C1067" s="12"/>
      <c r="D1067" s="15"/>
      <c r="E1067" s="19"/>
      <c r="F1067" s="19"/>
      <c r="G1067" s="12"/>
    </row>
    <row r="1068" spans="2:7" x14ac:dyDescent="0.25">
      <c r="B1068" s="12"/>
      <c r="C1068" s="12"/>
      <c r="D1068" s="15"/>
      <c r="E1068" s="19"/>
      <c r="F1068" s="19"/>
      <c r="G1068" s="12"/>
    </row>
    <row r="1069" spans="2:7" x14ac:dyDescent="0.25">
      <c r="B1069" s="12"/>
      <c r="C1069" s="12"/>
      <c r="D1069" s="15"/>
      <c r="E1069" s="19"/>
      <c r="F1069" s="19"/>
      <c r="G1069" s="12"/>
    </row>
    <row r="1070" spans="2:7" x14ac:dyDescent="0.25">
      <c r="B1070" s="12"/>
      <c r="C1070" s="12"/>
      <c r="D1070" s="15"/>
      <c r="E1070" s="19"/>
      <c r="F1070" s="19"/>
      <c r="G1070" s="12"/>
    </row>
    <row r="1071" spans="2:7" x14ac:dyDescent="0.25">
      <c r="B1071" s="12"/>
      <c r="C1071" s="12"/>
      <c r="D1071" s="15"/>
      <c r="E1071" s="19"/>
      <c r="F1071" s="19"/>
      <c r="G1071" s="12"/>
    </row>
    <row r="1072" spans="2:7" x14ac:dyDescent="0.25">
      <c r="B1072" s="12"/>
      <c r="C1072" s="12"/>
      <c r="D1072" s="15"/>
      <c r="E1072" s="19"/>
      <c r="F1072" s="19"/>
      <c r="G1072" s="12"/>
    </row>
    <row r="1073" spans="2:7" x14ac:dyDescent="0.25">
      <c r="B1073" s="12"/>
      <c r="C1073" s="12"/>
      <c r="D1073" s="15"/>
      <c r="E1073" s="19"/>
      <c r="F1073" s="19"/>
      <c r="G1073" s="12"/>
    </row>
    <row r="1074" spans="2:7" x14ac:dyDescent="0.25">
      <c r="B1074" s="12"/>
      <c r="C1074" s="12"/>
      <c r="D1074" s="15"/>
      <c r="E1074" s="19"/>
      <c r="F1074" s="19"/>
      <c r="G1074" s="12"/>
    </row>
    <row r="1075" spans="2:7" x14ac:dyDescent="0.25">
      <c r="B1075" s="12"/>
      <c r="C1075" s="12"/>
      <c r="D1075" s="15"/>
      <c r="E1075" s="19"/>
      <c r="F1075" s="19"/>
      <c r="G1075" s="12"/>
    </row>
    <row r="1076" spans="2:7" x14ac:dyDescent="0.25">
      <c r="B1076" s="12"/>
      <c r="C1076" s="12"/>
      <c r="D1076" s="15"/>
      <c r="E1076" s="19"/>
      <c r="F1076" s="19"/>
      <c r="G1076" s="12"/>
    </row>
    <row r="1077" spans="2:7" x14ac:dyDescent="0.25">
      <c r="B1077" s="12"/>
      <c r="C1077" s="12"/>
      <c r="D1077" s="15"/>
      <c r="E1077" s="19"/>
      <c r="F1077" s="19"/>
      <c r="G1077" s="12"/>
    </row>
    <row r="1078" spans="2:7" x14ac:dyDescent="0.25">
      <c r="B1078" s="12"/>
      <c r="C1078" s="12"/>
      <c r="D1078" s="15"/>
      <c r="E1078" s="19"/>
      <c r="F1078" s="19"/>
      <c r="G1078" s="12"/>
    </row>
    <row r="1079" spans="2:7" x14ac:dyDescent="0.25">
      <c r="B1079" s="12"/>
      <c r="C1079" s="12"/>
      <c r="D1079" s="15"/>
      <c r="E1079" s="19"/>
      <c r="F1079" s="19"/>
      <c r="G1079" s="12"/>
    </row>
    <row r="1080" spans="2:7" x14ac:dyDescent="0.25">
      <c r="B1080" s="12"/>
      <c r="C1080" s="12"/>
      <c r="D1080" s="15"/>
      <c r="E1080" s="19"/>
      <c r="F1080" s="19"/>
      <c r="G1080" s="12"/>
    </row>
    <row r="1081" spans="2:7" x14ac:dyDescent="0.25">
      <c r="B1081" s="12"/>
      <c r="C1081" s="12"/>
      <c r="D1081" s="15"/>
      <c r="E1081" s="19"/>
      <c r="F1081" s="19"/>
      <c r="G1081" s="12"/>
    </row>
    <row r="1082" spans="2:7" x14ac:dyDescent="0.25">
      <c r="B1082" s="12"/>
      <c r="C1082" s="12"/>
      <c r="D1082" s="15"/>
      <c r="E1082" s="19"/>
      <c r="F1082" s="19"/>
      <c r="G1082" s="12"/>
    </row>
    <row r="1083" spans="2:7" x14ac:dyDescent="0.25">
      <c r="B1083" s="12"/>
      <c r="C1083" s="12"/>
      <c r="D1083" s="15"/>
      <c r="E1083" s="19"/>
      <c r="F1083" s="19"/>
      <c r="G1083" s="12"/>
    </row>
    <row r="1084" spans="2:7" x14ac:dyDescent="0.25">
      <c r="B1084" s="12"/>
      <c r="C1084" s="12"/>
      <c r="D1084" s="15"/>
      <c r="E1084" s="19"/>
      <c r="F1084" s="19"/>
      <c r="G1084" s="12"/>
    </row>
    <row r="1085" spans="2:7" x14ac:dyDescent="0.25">
      <c r="B1085" s="12"/>
      <c r="C1085" s="12"/>
      <c r="D1085" s="15"/>
      <c r="E1085" s="19"/>
      <c r="F1085" s="19"/>
      <c r="G1085" s="12"/>
    </row>
    <row r="1086" spans="2:7" x14ac:dyDescent="0.25">
      <c r="B1086" s="12"/>
      <c r="C1086" s="12"/>
      <c r="D1086" s="15"/>
      <c r="E1086" s="19"/>
      <c r="F1086" s="19"/>
      <c r="G1086" s="12"/>
    </row>
    <row r="1087" spans="2:7" x14ac:dyDescent="0.25">
      <c r="B1087" s="12"/>
      <c r="C1087" s="12"/>
      <c r="D1087" s="15"/>
      <c r="E1087" s="19"/>
      <c r="F1087" s="19"/>
      <c r="G1087" s="12"/>
    </row>
    <row r="1088" spans="2:7" x14ac:dyDescent="0.25">
      <c r="B1088" s="12"/>
      <c r="C1088" s="12"/>
      <c r="D1088" s="15"/>
      <c r="E1088" s="19"/>
      <c r="F1088" s="19"/>
      <c r="G1088" s="12"/>
    </row>
    <row r="1089" spans="2:7" x14ac:dyDescent="0.25">
      <c r="B1089" s="12"/>
      <c r="C1089" s="12"/>
      <c r="D1089" s="15"/>
      <c r="E1089" s="19"/>
      <c r="F1089" s="19"/>
      <c r="G1089" s="12"/>
    </row>
    <row r="1090" spans="2:7" x14ac:dyDescent="0.25">
      <c r="B1090" s="12"/>
      <c r="C1090" s="12"/>
      <c r="D1090" s="15"/>
      <c r="E1090" s="19"/>
      <c r="F1090" s="19"/>
      <c r="G1090" s="12"/>
    </row>
    <row r="1091" spans="2:7" x14ac:dyDescent="0.25">
      <c r="B1091" s="12"/>
      <c r="C1091" s="12"/>
      <c r="D1091" s="15"/>
      <c r="E1091" s="19"/>
      <c r="F1091" s="19"/>
      <c r="G1091" s="12"/>
    </row>
    <row r="1092" spans="2:7" x14ac:dyDescent="0.25">
      <c r="B1092" s="12"/>
      <c r="C1092" s="12"/>
      <c r="D1092" s="15"/>
      <c r="E1092" s="19"/>
      <c r="F1092" s="19"/>
      <c r="G1092" s="12"/>
    </row>
    <row r="1093" spans="2:7" x14ac:dyDescent="0.25">
      <c r="B1093" s="12"/>
      <c r="C1093" s="12"/>
      <c r="D1093" s="15"/>
      <c r="E1093" s="19"/>
      <c r="F1093" s="19"/>
      <c r="G1093" s="12"/>
    </row>
    <row r="1094" spans="2:7" x14ac:dyDescent="0.25">
      <c r="B1094" s="12"/>
      <c r="C1094" s="12"/>
      <c r="D1094" s="15"/>
      <c r="E1094" s="19"/>
      <c r="F1094" s="19"/>
      <c r="G1094" s="12"/>
    </row>
    <row r="1095" spans="2:7" x14ac:dyDescent="0.25">
      <c r="B1095" s="12"/>
      <c r="C1095" s="12"/>
      <c r="D1095" s="15"/>
      <c r="E1095" s="19"/>
      <c r="F1095" s="19"/>
      <c r="G1095" s="12"/>
    </row>
    <row r="1096" spans="2:7" x14ac:dyDescent="0.25">
      <c r="B1096" s="12"/>
      <c r="C1096" s="12"/>
      <c r="D1096" s="15"/>
      <c r="E1096" s="19"/>
      <c r="F1096" s="19"/>
      <c r="G1096" s="12"/>
    </row>
    <row r="1097" spans="2:7" x14ac:dyDescent="0.25">
      <c r="B1097" s="12"/>
      <c r="C1097" s="12"/>
      <c r="D1097" s="15"/>
      <c r="E1097" s="19"/>
      <c r="F1097" s="19"/>
      <c r="G1097" s="12"/>
    </row>
    <row r="1098" spans="2:7" x14ac:dyDescent="0.25">
      <c r="B1098" s="12"/>
      <c r="C1098" s="12"/>
      <c r="D1098" s="15"/>
      <c r="E1098" s="19"/>
      <c r="F1098" s="19"/>
      <c r="G1098" s="12"/>
    </row>
    <row r="1099" spans="2:7" x14ac:dyDescent="0.25">
      <c r="B1099" s="12"/>
      <c r="C1099" s="12"/>
      <c r="D1099" s="15"/>
      <c r="E1099" s="19"/>
      <c r="F1099" s="19"/>
      <c r="G1099" s="12"/>
    </row>
    <row r="1100" spans="2:7" x14ac:dyDescent="0.25">
      <c r="B1100" s="12"/>
      <c r="C1100" s="12"/>
      <c r="D1100" s="15"/>
      <c r="E1100" s="19"/>
      <c r="F1100" s="19"/>
      <c r="G1100" s="12"/>
    </row>
    <row r="1101" spans="2:7" x14ac:dyDescent="0.25">
      <c r="B1101" s="12"/>
      <c r="C1101" s="12"/>
      <c r="D1101" s="15"/>
      <c r="E1101" s="19"/>
      <c r="F1101" s="19"/>
      <c r="G1101" s="12"/>
    </row>
    <row r="1102" spans="2:7" x14ac:dyDescent="0.25">
      <c r="B1102" s="12"/>
      <c r="C1102" s="12"/>
      <c r="D1102" s="15"/>
      <c r="E1102" s="19"/>
      <c r="F1102" s="19"/>
      <c r="G1102" s="12"/>
    </row>
    <row r="1103" spans="2:7" x14ac:dyDescent="0.25">
      <c r="B1103" s="12"/>
      <c r="C1103" s="12"/>
      <c r="D1103" s="15"/>
      <c r="E1103" s="19"/>
      <c r="F1103" s="19"/>
      <c r="G1103" s="12"/>
    </row>
    <row r="1104" spans="2:7" x14ac:dyDescent="0.25">
      <c r="B1104" s="12"/>
      <c r="C1104" s="12"/>
      <c r="D1104" s="15"/>
      <c r="E1104" s="19"/>
      <c r="F1104" s="19"/>
      <c r="G1104" s="12"/>
    </row>
    <row r="1105" spans="2:7" x14ac:dyDescent="0.25">
      <c r="B1105" s="12"/>
      <c r="C1105" s="12"/>
      <c r="D1105" s="15"/>
      <c r="E1105" s="19"/>
      <c r="F1105" s="19"/>
      <c r="G1105" s="12"/>
    </row>
    <row r="1106" spans="2:7" x14ac:dyDescent="0.25">
      <c r="B1106" s="12"/>
      <c r="C1106" s="12"/>
      <c r="D1106" s="15"/>
      <c r="E1106" s="19"/>
      <c r="F1106" s="19"/>
      <c r="G1106" s="12"/>
    </row>
    <row r="1107" spans="2:7" x14ac:dyDescent="0.25">
      <c r="B1107" s="12"/>
      <c r="C1107" s="12"/>
      <c r="D1107" s="15"/>
      <c r="E1107" s="19"/>
      <c r="F1107" s="19"/>
      <c r="G1107" s="12"/>
    </row>
    <row r="1108" spans="2:7" x14ac:dyDescent="0.25">
      <c r="B1108" s="12"/>
      <c r="C1108" s="12"/>
      <c r="D1108" s="15"/>
      <c r="E1108" s="19"/>
      <c r="F1108" s="19"/>
      <c r="G1108" s="12"/>
    </row>
    <row r="1109" spans="2:7" x14ac:dyDescent="0.25">
      <c r="B1109" s="12"/>
      <c r="C1109" s="12"/>
      <c r="D1109" s="15"/>
      <c r="E1109" s="19"/>
      <c r="F1109" s="19"/>
      <c r="G1109" s="12"/>
    </row>
    <row r="1110" spans="2:7" x14ac:dyDescent="0.25">
      <c r="B1110" s="12"/>
      <c r="C1110" s="12"/>
      <c r="D1110" s="15"/>
      <c r="E1110" s="19"/>
      <c r="F1110" s="19"/>
      <c r="G1110" s="12"/>
    </row>
    <row r="1111" spans="2:7" x14ac:dyDescent="0.25">
      <c r="B1111" s="12"/>
      <c r="C1111" s="12"/>
      <c r="D1111" s="15"/>
      <c r="E1111" s="19"/>
      <c r="F1111" s="19"/>
      <c r="G1111" s="12"/>
    </row>
    <row r="1112" spans="2:7" x14ac:dyDescent="0.25">
      <c r="B1112" s="12"/>
      <c r="C1112" s="12"/>
      <c r="D1112" s="15"/>
      <c r="E1112" s="19"/>
      <c r="F1112" s="19"/>
      <c r="G1112" s="12"/>
    </row>
    <row r="1113" spans="2:7" x14ac:dyDescent="0.25">
      <c r="B1113" s="12"/>
      <c r="C1113" s="12"/>
      <c r="D1113" s="15"/>
      <c r="E1113" s="19"/>
      <c r="F1113" s="19"/>
      <c r="G1113" s="12"/>
    </row>
    <row r="1114" spans="2:7" x14ac:dyDescent="0.25">
      <c r="B1114" s="12"/>
      <c r="C1114" s="12"/>
      <c r="D1114" s="15"/>
      <c r="E1114" s="19"/>
      <c r="F1114" s="19"/>
      <c r="G1114" s="12"/>
    </row>
    <row r="1115" spans="2:7" x14ac:dyDescent="0.25">
      <c r="B1115" s="12"/>
      <c r="C1115" s="12"/>
      <c r="D1115" s="15"/>
      <c r="E1115" s="19"/>
      <c r="F1115" s="19"/>
      <c r="G1115" s="12"/>
    </row>
    <row r="1116" spans="2:7" x14ac:dyDescent="0.25">
      <c r="B1116" s="12"/>
      <c r="C1116" s="12"/>
      <c r="D1116" s="15"/>
      <c r="E1116" s="19"/>
      <c r="F1116" s="19"/>
      <c r="G1116" s="12"/>
    </row>
    <row r="1117" spans="2:7" x14ac:dyDescent="0.25">
      <c r="B1117" s="12"/>
      <c r="C1117" s="12"/>
      <c r="D1117" s="15"/>
      <c r="E1117" s="19"/>
      <c r="F1117" s="19"/>
      <c r="G1117" s="12"/>
    </row>
    <row r="1118" spans="2:7" x14ac:dyDescent="0.25">
      <c r="B1118" s="12"/>
      <c r="C1118" s="12"/>
      <c r="D1118" s="15"/>
      <c r="E1118" s="19"/>
      <c r="F1118" s="19"/>
      <c r="G1118" s="12"/>
    </row>
    <row r="1119" spans="2:7" x14ac:dyDescent="0.25">
      <c r="B1119" s="12"/>
      <c r="C1119" s="12"/>
      <c r="D1119" s="15"/>
      <c r="E1119" s="19"/>
      <c r="F1119" s="19"/>
      <c r="G1119" s="12"/>
    </row>
    <row r="1120" spans="2:7" x14ac:dyDescent="0.25">
      <c r="B1120" s="12"/>
      <c r="C1120" s="12"/>
      <c r="D1120" s="15"/>
      <c r="E1120" s="19"/>
      <c r="F1120" s="19"/>
      <c r="G1120" s="12"/>
    </row>
    <row r="1121" spans="2:7" x14ac:dyDescent="0.25">
      <c r="B1121" s="12"/>
      <c r="C1121" s="12"/>
      <c r="D1121" s="15"/>
      <c r="E1121" s="19"/>
      <c r="F1121" s="19"/>
      <c r="G1121" s="12"/>
    </row>
    <row r="1122" spans="2:7" x14ac:dyDescent="0.25">
      <c r="B1122" s="12"/>
      <c r="C1122" s="12"/>
      <c r="D1122" s="15"/>
      <c r="E1122" s="19"/>
      <c r="F1122" s="19"/>
      <c r="G1122" s="12"/>
    </row>
    <row r="1123" spans="2:7" x14ac:dyDescent="0.25">
      <c r="B1123" s="12"/>
      <c r="C1123" s="12"/>
      <c r="D1123" s="15"/>
      <c r="E1123" s="19"/>
      <c r="F1123" s="19"/>
      <c r="G1123" s="12"/>
    </row>
    <row r="1124" spans="2:7" x14ac:dyDescent="0.25">
      <c r="B1124" s="12"/>
      <c r="C1124" s="12"/>
      <c r="D1124" s="15"/>
      <c r="E1124" s="19"/>
      <c r="F1124" s="19"/>
      <c r="G1124" s="12"/>
    </row>
    <row r="1125" spans="2:7" x14ac:dyDescent="0.25">
      <c r="B1125" s="12"/>
      <c r="C1125" s="12"/>
      <c r="D1125" s="15"/>
      <c r="E1125" s="19"/>
      <c r="F1125" s="19"/>
      <c r="G1125" s="12"/>
    </row>
    <row r="1126" spans="2:7" x14ac:dyDescent="0.25">
      <c r="B1126" s="12"/>
      <c r="C1126" s="12"/>
      <c r="D1126" s="15"/>
      <c r="E1126" s="19"/>
      <c r="F1126" s="19"/>
      <c r="G1126" s="12"/>
    </row>
    <row r="1127" spans="2:7" x14ac:dyDescent="0.25">
      <c r="B1127" s="12"/>
      <c r="C1127" s="12"/>
      <c r="D1127" s="15"/>
      <c r="E1127" s="19"/>
      <c r="F1127" s="19"/>
      <c r="G1127" s="12"/>
    </row>
    <row r="1128" spans="2:7" x14ac:dyDescent="0.25">
      <c r="B1128" s="12"/>
      <c r="C1128" s="12"/>
      <c r="D1128" s="15"/>
      <c r="E1128" s="19"/>
      <c r="F1128" s="19"/>
      <c r="G1128" s="12"/>
    </row>
    <row r="1129" spans="2:7" x14ac:dyDescent="0.25">
      <c r="B1129" s="12"/>
      <c r="C1129" s="12"/>
      <c r="D1129" s="15"/>
      <c r="E1129" s="19"/>
      <c r="F1129" s="19"/>
      <c r="G1129" s="12"/>
    </row>
    <row r="1130" spans="2:7" x14ac:dyDescent="0.25">
      <c r="B1130" s="12"/>
      <c r="C1130" s="12"/>
      <c r="D1130" s="15"/>
      <c r="E1130" s="19"/>
      <c r="F1130" s="19"/>
      <c r="G1130" s="12"/>
    </row>
    <row r="1131" spans="2:7" x14ac:dyDescent="0.25">
      <c r="B1131" s="12"/>
      <c r="C1131" s="12"/>
      <c r="D1131" s="15"/>
      <c r="E1131" s="19"/>
      <c r="F1131" s="19"/>
      <c r="G1131" s="12"/>
    </row>
    <row r="1132" spans="2:7" x14ac:dyDescent="0.25">
      <c r="B1132" s="12"/>
      <c r="C1132" s="12"/>
      <c r="D1132" s="15"/>
      <c r="E1132" s="19"/>
      <c r="F1132" s="19"/>
      <c r="G1132" s="12"/>
    </row>
    <row r="1133" spans="2:7" x14ac:dyDescent="0.25">
      <c r="B1133" s="12"/>
      <c r="C1133" s="12"/>
      <c r="D1133" s="15"/>
      <c r="E1133" s="19"/>
      <c r="F1133" s="19"/>
      <c r="G1133" s="12"/>
    </row>
    <row r="1134" spans="2:7" x14ac:dyDescent="0.25">
      <c r="B1134" s="12"/>
      <c r="C1134" s="12"/>
      <c r="D1134" s="15"/>
      <c r="E1134" s="19"/>
      <c r="F1134" s="19"/>
      <c r="G1134" s="12"/>
    </row>
    <row r="1135" spans="2:7" x14ac:dyDescent="0.25">
      <c r="B1135" s="12"/>
      <c r="C1135" s="12"/>
      <c r="D1135" s="15"/>
      <c r="E1135" s="19"/>
      <c r="F1135" s="19"/>
      <c r="G1135" s="12"/>
    </row>
    <row r="1136" spans="2:7" x14ac:dyDescent="0.25">
      <c r="B1136" s="12"/>
      <c r="C1136" s="12"/>
      <c r="D1136" s="15"/>
      <c r="E1136" s="19"/>
      <c r="F1136" s="19"/>
      <c r="G1136" s="12"/>
    </row>
    <row r="1137" spans="2:7" x14ac:dyDescent="0.25">
      <c r="B1137" s="12"/>
      <c r="C1137" s="12"/>
      <c r="D1137" s="15"/>
      <c r="E1137" s="19"/>
      <c r="F1137" s="19"/>
      <c r="G1137" s="12"/>
    </row>
    <row r="1138" spans="2:7" x14ac:dyDescent="0.25">
      <c r="B1138" s="12"/>
      <c r="C1138" s="12"/>
      <c r="D1138" s="15"/>
      <c r="E1138" s="19"/>
      <c r="F1138" s="19"/>
      <c r="G1138" s="12"/>
    </row>
    <row r="1139" spans="2:7" x14ac:dyDescent="0.25">
      <c r="B1139" s="12"/>
      <c r="C1139" s="12"/>
      <c r="D1139" s="15"/>
      <c r="E1139" s="19"/>
      <c r="F1139" s="19"/>
      <c r="G1139" s="12"/>
    </row>
    <row r="1140" spans="2:7" x14ac:dyDescent="0.25">
      <c r="B1140" s="12"/>
      <c r="C1140" s="12"/>
      <c r="D1140" s="15"/>
      <c r="E1140" s="19"/>
      <c r="F1140" s="19"/>
      <c r="G1140" s="12"/>
    </row>
    <row r="1141" spans="2:7" x14ac:dyDescent="0.25">
      <c r="B1141" s="12"/>
      <c r="C1141" s="12"/>
      <c r="D1141" s="15"/>
      <c r="E1141" s="19"/>
      <c r="F1141" s="19"/>
      <c r="G1141" s="12"/>
    </row>
    <row r="1142" spans="2:7" x14ac:dyDescent="0.25">
      <c r="B1142" s="12"/>
      <c r="C1142" s="12"/>
      <c r="D1142" s="15"/>
      <c r="E1142" s="19"/>
      <c r="F1142" s="19"/>
      <c r="G1142" s="12"/>
    </row>
    <row r="1143" spans="2:7" x14ac:dyDescent="0.25">
      <c r="B1143" s="12"/>
      <c r="C1143" s="12"/>
      <c r="D1143" s="15"/>
      <c r="E1143" s="19"/>
      <c r="F1143" s="19"/>
      <c r="G1143" s="12"/>
    </row>
    <row r="1144" spans="2:7" x14ac:dyDescent="0.25">
      <c r="B1144" s="12"/>
      <c r="C1144" s="12"/>
      <c r="D1144" s="15"/>
      <c r="E1144" s="19"/>
      <c r="F1144" s="19"/>
      <c r="G1144" s="12"/>
    </row>
    <row r="1145" spans="2:7" x14ac:dyDescent="0.25">
      <c r="B1145" s="12"/>
      <c r="C1145" s="12"/>
      <c r="D1145" s="15"/>
      <c r="E1145" s="19"/>
      <c r="F1145" s="19"/>
      <c r="G1145" s="12"/>
    </row>
    <row r="1146" spans="2:7" x14ac:dyDescent="0.25">
      <c r="B1146" s="12"/>
      <c r="C1146" s="12"/>
      <c r="D1146" s="15"/>
      <c r="E1146" s="19"/>
      <c r="F1146" s="19"/>
      <c r="G1146" s="12"/>
    </row>
    <row r="1147" spans="2:7" x14ac:dyDescent="0.25">
      <c r="B1147" s="12"/>
      <c r="C1147" s="12"/>
      <c r="D1147" s="15"/>
      <c r="E1147" s="19"/>
      <c r="F1147" s="19"/>
      <c r="G1147" s="12"/>
    </row>
    <row r="1148" spans="2:7" x14ac:dyDescent="0.25">
      <c r="B1148" s="12"/>
      <c r="C1148" s="12"/>
      <c r="D1148" s="15"/>
      <c r="E1148" s="19"/>
      <c r="F1148" s="19"/>
      <c r="G1148" s="12"/>
    </row>
    <row r="1149" spans="2:7" x14ac:dyDescent="0.25">
      <c r="B1149" s="12"/>
      <c r="C1149" s="12"/>
      <c r="D1149" s="15"/>
      <c r="E1149" s="19"/>
      <c r="F1149" s="19"/>
      <c r="G1149" s="12"/>
    </row>
    <row r="1150" spans="2:7" x14ac:dyDescent="0.25">
      <c r="B1150" s="12"/>
      <c r="C1150" s="12"/>
      <c r="D1150" s="15"/>
      <c r="E1150" s="19"/>
      <c r="F1150" s="19"/>
      <c r="G1150" s="12"/>
    </row>
    <row r="1151" spans="2:7" x14ac:dyDescent="0.25">
      <c r="B1151" s="12"/>
      <c r="C1151" s="12"/>
      <c r="D1151" s="15"/>
      <c r="E1151" s="19"/>
      <c r="F1151" s="19"/>
      <c r="G1151" s="12"/>
    </row>
    <row r="1152" spans="2:7" x14ac:dyDescent="0.25">
      <c r="B1152" s="12"/>
      <c r="C1152" s="12"/>
      <c r="D1152" s="15"/>
      <c r="E1152" s="19"/>
      <c r="F1152" s="19"/>
      <c r="G1152" s="12"/>
    </row>
    <row r="1153" spans="2:7" x14ac:dyDescent="0.25">
      <c r="B1153" s="12"/>
      <c r="C1153" s="12"/>
      <c r="D1153" s="15"/>
      <c r="E1153" s="19"/>
      <c r="F1153" s="19"/>
      <c r="G1153" s="12"/>
    </row>
    <row r="1154" spans="2:7" x14ac:dyDescent="0.25">
      <c r="B1154" s="12"/>
      <c r="C1154" s="12"/>
      <c r="D1154" s="15"/>
      <c r="E1154" s="19"/>
      <c r="F1154" s="19"/>
      <c r="G1154" s="12"/>
    </row>
    <row r="1155" spans="2:7" x14ac:dyDescent="0.25">
      <c r="B1155" s="12"/>
      <c r="C1155" s="12"/>
      <c r="D1155" s="15"/>
      <c r="E1155" s="19"/>
      <c r="F1155" s="19"/>
      <c r="G1155" s="12"/>
    </row>
    <row r="1156" spans="2:7" x14ac:dyDescent="0.25">
      <c r="B1156" s="12"/>
      <c r="C1156" s="12"/>
      <c r="D1156" s="15"/>
      <c r="E1156" s="19"/>
      <c r="F1156" s="19"/>
      <c r="G1156" s="12"/>
    </row>
    <row r="1157" spans="2:7" x14ac:dyDescent="0.25">
      <c r="B1157" s="12"/>
      <c r="C1157" s="12"/>
      <c r="D1157" s="15"/>
      <c r="E1157" s="19"/>
      <c r="F1157" s="19"/>
      <c r="G1157" s="12"/>
    </row>
    <row r="1158" spans="2:7" x14ac:dyDescent="0.25">
      <c r="B1158" s="12"/>
      <c r="C1158" s="12"/>
      <c r="D1158" s="15"/>
      <c r="E1158" s="19"/>
      <c r="F1158" s="19"/>
      <c r="G1158" s="12"/>
    </row>
    <row r="1159" spans="2:7" x14ac:dyDescent="0.25">
      <c r="B1159" s="12"/>
      <c r="C1159" s="12"/>
      <c r="D1159" s="15"/>
      <c r="E1159" s="19"/>
      <c r="F1159" s="19"/>
      <c r="G1159" s="12"/>
    </row>
    <row r="1160" spans="2:7" x14ac:dyDescent="0.25">
      <c r="B1160" s="12"/>
      <c r="C1160" s="12"/>
      <c r="D1160" s="15"/>
      <c r="E1160" s="19"/>
      <c r="F1160" s="19"/>
      <c r="G1160" s="12"/>
    </row>
    <row r="1161" spans="2:7" x14ac:dyDescent="0.25">
      <c r="B1161" s="12"/>
      <c r="C1161" s="12"/>
      <c r="D1161" s="15"/>
      <c r="E1161" s="19"/>
      <c r="F1161" s="19"/>
      <c r="G1161" s="12"/>
    </row>
    <row r="1162" spans="2:7" x14ac:dyDescent="0.25">
      <c r="B1162" s="12"/>
      <c r="C1162" s="12"/>
      <c r="D1162" s="15"/>
      <c r="E1162" s="19"/>
      <c r="F1162" s="19"/>
      <c r="G1162" s="12"/>
    </row>
    <row r="1163" spans="2:7" x14ac:dyDescent="0.25">
      <c r="B1163" s="12"/>
      <c r="C1163" s="12"/>
      <c r="D1163" s="15"/>
      <c r="E1163" s="19"/>
      <c r="F1163" s="19"/>
      <c r="G1163" s="12"/>
    </row>
    <row r="1164" spans="2:7" x14ac:dyDescent="0.25">
      <c r="B1164" s="12"/>
      <c r="C1164" s="12"/>
      <c r="D1164" s="15"/>
      <c r="E1164" s="19"/>
      <c r="F1164" s="19"/>
      <c r="G1164" s="12"/>
    </row>
    <row r="1165" spans="2:7" x14ac:dyDescent="0.25">
      <c r="B1165" s="12"/>
      <c r="C1165" s="12"/>
      <c r="D1165" s="15"/>
      <c r="E1165" s="19"/>
      <c r="F1165" s="19"/>
      <c r="G1165" s="12"/>
    </row>
    <row r="1166" spans="2:7" x14ac:dyDescent="0.25">
      <c r="B1166" s="12"/>
      <c r="C1166" s="12"/>
      <c r="D1166" s="15"/>
      <c r="E1166" s="19"/>
      <c r="F1166" s="19"/>
      <c r="G1166" s="12"/>
    </row>
    <row r="1167" spans="2:7" x14ac:dyDescent="0.25">
      <c r="B1167" s="12"/>
      <c r="C1167" s="12"/>
      <c r="D1167" s="15"/>
      <c r="E1167" s="19"/>
      <c r="F1167" s="19"/>
      <c r="G1167" s="12"/>
    </row>
    <row r="1168" spans="2:7" x14ac:dyDescent="0.25">
      <c r="B1168" s="12"/>
      <c r="C1168" s="12"/>
      <c r="D1168" s="15"/>
      <c r="E1168" s="19"/>
      <c r="F1168" s="19"/>
      <c r="G1168" s="12"/>
    </row>
    <row r="1169" spans="2:7" x14ac:dyDescent="0.25">
      <c r="B1169" s="12"/>
      <c r="C1169" s="12"/>
      <c r="D1169" s="15"/>
      <c r="E1169" s="19"/>
      <c r="F1169" s="19"/>
      <c r="G1169" s="12"/>
    </row>
    <row r="1170" spans="2:7" x14ac:dyDescent="0.25">
      <c r="B1170" s="12"/>
      <c r="C1170" s="12"/>
      <c r="D1170" s="15"/>
      <c r="E1170" s="19"/>
      <c r="F1170" s="19"/>
      <c r="G1170" s="12"/>
    </row>
    <row r="1171" spans="2:7" x14ac:dyDescent="0.25">
      <c r="B1171" s="12"/>
      <c r="C1171" s="12"/>
      <c r="D1171" s="15"/>
      <c r="E1171" s="19"/>
      <c r="F1171" s="19"/>
      <c r="G1171" s="12"/>
    </row>
    <row r="1172" spans="2:7" x14ac:dyDescent="0.25">
      <c r="B1172" s="12"/>
      <c r="C1172" s="12"/>
      <c r="D1172" s="15"/>
      <c r="E1172" s="19"/>
      <c r="F1172" s="19"/>
      <c r="G1172" s="12"/>
    </row>
    <row r="1173" spans="2:7" x14ac:dyDescent="0.25">
      <c r="B1173" s="12"/>
      <c r="C1173" s="12"/>
      <c r="D1173" s="15"/>
      <c r="E1173" s="19"/>
      <c r="F1173" s="19"/>
      <c r="G1173" s="12"/>
    </row>
    <row r="1174" spans="2:7" x14ac:dyDescent="0.25">
      <c r="B1174" s="12"/>
      <c r="C1174" s="12"/>
      <c r="D1174" s="15"/>
      <c r="E1174" s="19"/>
      <c r="F1174" s="19"/>
      <c r="G1174" s="12"/>
    </row>
    <row r="1175" spans="2:7" x14ac:dyDescent="0.25">
      <c r="B1175" s="12"/>
      <c r="C1175" s="12"/>
      <c r="D1175" s="15"/>
      <c r="E1175" s="19"/>
      <c r="F1175" s="19"/>
      <c r="G1175" s="12"/>
    </row>
    <row r="1176" spans="2:7" x14ac:dyDescent="0.25">
      <c r="B1176" s="12"/>
      <c r="C1176" s="12"/>
      <c r="D1176" s="15"/>
      <c r="E1176" s="19"/>
      <c r="F1176" s="19"/>
      <c r="G1176" s="12"/>
    </row>
    <row r="1177" spans="2:7" x14ac:dyDescent="0.25">
      <c r="B1177" s="12"/>
      <c r="C1177" s="12"/>
      <c r="D1177" s="15"/>
      <c r="E1177" s="19"/>
      <c r="F1177" s="19"/>
      <c r="G1177" s="12"/>
    </row>
    <row r="1178" spans="2:7" x14ac:dyDescent="0.25">
      <c r="B1178" s="12"/>
      <c r="C1178" s="12"/>
      <c r="D1178" s="15"/>
      <c r="E1178" s="19"/>
      <c r="F1178" s="19"/>
      <c r="G1178" s="12"/>
    </row>
    <row r="1179" spans="2:7" x14ac:dyDescent="0.25">
      <c r="B1179" s="12"/>
      <c r="C1179" s="12"/>
      <c r="D1179" s="15"/>
      <c r="E1179" s="19"/>
      <c r="F1179" s="19"/>
      <c r="G1179" s="12"/>
    </row>
    <row r="1180" spans="2:7" x14ac:dyDescent="0.25">
      <c r="B1180" s="12"/>
      <c r="C1180" s="12"/>
      <c r="D1180" s="15"/>
      <c r="E1180" s="19"/>
      <c r="F1180" s="19"/>
      <c r="G1180" s="12"/>
    </row>
    <row r="1181" spans="2:7" x14ac:dyDescent="0.25">
      <c r="B1181" s="12"/>
      <c r="C1181" s="12"/>
      <c r="D1181" s="15"/>
      <c r="E1181" s="19"/>
      <c r="F1181" s="19"/>
      <c r="G1181" s="12"/>
    </row>
    <row r="1182" spans="2:7" x14ac:dyDescent="0.25">
      <c r="B1182" s="12"/>
      <c r="C1182" s="12"/>
      <c r="D1182" s="15"/>
      <c r="E1182" s="19"/>
      <c r="F1182" s="19"/>
      <c r="G1182" s="12"/>
    </row>
    <row r="1183" spans="2:7" x14ac:dyDescent="0.25">
      <c r="B1183" s="12"/>
      <c r="C1183" s="12"/>
      <c r="D1183" s="15"/>
      <c r="E1183" s="19"/>
      <c r="F1183" s="19"/>
      <c r="G1183" s="12"/>
    </row>
    <row r="1184" spans="2:7" x14ac:dyDescent="0.25">
      <c r="B1184" s="12"/>
      <c r="C1184" s="12"/>
      <c r="D1184" s="15"/>
      <c r="E1184" s="19"/>
      <c r="F1184" s="19"/>
      <c r="G1184" s="12"/>
    </row>
    <row r="1185" spans="2:7" x14ac:dyDescent="0.25">
      <c r="B1185" s="12"/>
      <c r="C1185" s="12"/>
      <c r="D1185" s="15"/>
      <c r="E1185" s="19"/>
      <c r="F1185" s="19"/>
      <c r="G1185" s="12"/>
    </row>
    <row r="1186" spans="2:7" x14ac:dyDescent="0.25">
      <c r="B1186" s="12"/>
      <c r="C1186" s="12"/>
      <c r="D1186" s="15"/>
      <c r="E1186" s="19"/>
      <c r="F1186" s="19"/>
      <c r="G1186" s="12"/>
    </row>
    <row r="1187" spans="2:7" x14ac:dyDescent="0.25">
      <c r="B1187" s="12"/>
      <c r="C1187" s="12"/>
      <c r="D1187" s="15"/>
      <c r="E1187" s="19"/>
      <c r="F1187" s="19"/>
      <c r="G1187" s="12"/>
    </row>
    <row r="1188" spans="2:7" x14ac:dyDescent="0.25">
      <c r="B1188" s="12"/>
      <c r="C1188" s="12"/>
      <c r="D1188" s="15"/>
      <c r="E1188" s="19"/>
      <c r="F1188" s="19"/>
      <c r="G1188" s="12"/>
    </row>
    <row r="1189" spans="2:7" x14ac:dyDescent="0.25">
      <c r="B1189" s="12"/>
      <c r="C1189" s="12"/>
      <c r="D1189" s="15"/>
      <c r="E1189" s="19"/>
      <c r="F1189" s="19"/>
      <c r="G1189" s="12"/>
    </row>
    <row r="1190" spans="2:7" x14ac:dyDescent="0.25">
      <c r="B1190" s="12"/>
      <c r="C1190" s="12"/>
      <c r="D1190" s="15"/>
      <c r="E1190" s="19"/>
      <c r="F1190" s="19"/>
      <c r="G1190" s="12"/>
    </row>
    <row r="1191" spans="2:7" x14ac:dyDescent="0.25">
      <c r="B1191" s="12"/>
      <c r="C1191" s="12"/>
      <c r="D1191" s="15"/>
      <c r="E1191" s="19"/>
      <c r="F1191" s="19"/>
      <c r="G1191" s="12"/>
    </row>
    <row r="1192" spans="2:7" x14ac:dyDescent="0.25">
      <c r="B1192" s="12"/>
      <c r="C1192" s="12"/>
      <c r="D1192" s="15"/>
      <c r="E1192" s="19"/>
      <c r="F1192" s="19"/>
      <c r="G1192" s="12"/>
    </row>
    <row r="1193" spans="2:7" x14ac:dyDescent="0.25">
      <c r="B1193" s="12"/>
      <c r="C1193" s="12"/>
      <c r="D1193" s="15"/>
      <c r="E1193" s="19"/>
      <c r="F1193" s="19"/>
      <c r="G1193" s="12"/>
    </row>
    <row r="1194" spans="2:7" x14ac:dyDescent="0.25">
      <c r="B1194" s="12"/>
      <c r="C1194" s="12"/>
      <c r="D1194" s="15"/>
      <c r="E1194" s="19"/>
      <c r="F1194" s="19"/>
      <c r="G1194" s="12"/>
    </row>
    <row r="1195" spans="2:7" x14ac:dyDescent="0.25">
      <c r="B1195" s="12"/>
      <c r="C1195" s="12"/>
      <c r="D1195" s="15"/>
      <c r="E1195" s="19"/>
      <c r="F1195" s="19"/>
      <c r="G1195" s="12"/>
    </row>
    <row r="1196" spans="2:7" x14ac:dyDescent="0.25">
      <c r="B1196" s="12"/>
      <c r="C1196" s="12"/>
      <c r="D1196" s="15"/>
      <c r="E1196" s="19"/>
      <c r="F1196" s="19"/>
      <c r="G1196" s="12"/>
    </row>
    <row r="1197" spans="2:7" x14ac:dyDescent="0.25">
      <c r="B1197" s="12"/>
      <c r="C1197" s="12"/>
      <c r="D1197" s="15"/>
      <c r="E1197" s="19"/>
      <c r="F1197" s="19"/>
      <c r="G1197" s="12"/>
    </row>
    <row r="1198" spans="2:7" x14ac:dyDescent="0.25">
      <c r="B1198" s="12"/>
      <c r="C1198" s="12"/>
      <c r="D1198" s="15"/>
      <c r="E1198" s="19"/>
      <c r="F1198" s="19"/>
      <c r="G1198" s="12"/>
    </row>
    <row r="1199" spans="2:7" x14ac:dyDescent="0.25">
      <c r="B1199" s="12"/>
      <c r="C1199" s="12"/>
      <c r="D1199" s="15"/>
      <c r="E1199" s="19"/>
      <c r="F1199" s="19"/>
      <c r="G1199" s="12"/>
    </row>
    <row r="1200" spans="2:7" x14ac:dyDescent="0.25">
      <c r="B1200" s="12"/>
      <c r="C1200" s="12"/>
      <c r="D1200" s="15"/>
      <c r="E1200" s="19"/>
      <c r="F1200" s="19"/>
      <c r="G1200" s="12"/>
    </row>
    <row r="1201" spans="2:7" x14ac:dyDescent="0.25">
      <c r="B1201" s="12"/>
      <c r="C1201" s="12"/>
      <c r="D1201" s="15"/>
      <c r="E1201" s="19"/>
      <c r="F1201" s="19"/>
      <c r="G1201" s="12"/>
    </row>
    <row r="1202" spans="2:7" x14ac:dyDescent="0.25">
      <c r="B1202" s="12"/>
      <c r="C1202" s="12"/>
      <c r="D1202" s="15"/>
      <c r="E1202" s="19"/>
      <c r="F1202" s="19"/>
      <c r="G1202" s="12"/>
    </row>
    <row r="1203" spans="2:7" x14ac:dyDescent="0.25">
      <c r="B1203" s="12"/>
      <c r="C1203" s="12"/>
      <c r="D1203" s="15"/>
      <c r="E1203" s="19"/>
      <c r="F1203" s="19"/>
      <c r="G1203" s="12"/>
    </row>
    <row r="1204" spans="2:7" x14ac:dyDescent="0.25">
      <c r="B1204" s="12"/>
      <c r="C1204" s="12"/>
      <c r="D1204" s="15"/>
      <c r="E1204" s="19"/>
      <c r="F1204" s="19"/>
      <c r="G1204" s="12"/>
    </row>
    <row r="1205" spans="2:7" x14ac:dyDescent="0.25">
      <c r="B1205" s="12"/>
      <c r="C1205" s="12"/>
      <c r="D1205" s="15"/>
      <c r="E1205" s="19"/>
      <c r="F1205" s="19"/>
      <c r="G1205" s="12"/>
    </row>
    <row r="1206" spans="2:7" x14ac:dyDescent="0.25">
      <c r="B1206" s="12"/>
      <c r="C1206" s="12"/>
      <c r="D1206" s="15"/>
      <c r="E1206" s="19"/>
      <c r="F1206" s="19"/>
      <c r="G1206" s="12"/>
    </row>
    <row r="1207" spans="2:7" x14ac:dyDescent="0.25">
      <c r="B1207" s="12"/>
      <c r="C1207" s="12"/>
      <c r="D1207" s="15"/>
      <c r="E1207" s="19"/>
      <c r="F1207" s="19"/>
      <c r="G1207" s="12"/>
    </row>
    <row r="1208" spans="2:7" x14ac:dyDescent="0.25">
      <c r="B1208" s="12"/>
      <c r="C1208" s="12"/>
      <c r="D1208" s="15"/>
      <c r="E1208" s="19"/>
      <c r="F1208" s="19"/>
      <c r="G1208" s="12"/>
    </row>
    <row r="1209" spans="2:7" x14ac:dyDescent="0.25">
      <c r="B1209" s="12"/>
      <c r="C1209" s="12"/>
      <c r="D1209" s="15"/>
      <c r="E1209" s="19"/>
      <c r="F1209" s="19"/>
      <c r="G1209" s="12"/>
    </row>
    <row r="1210" spans="2:7" x14ac:dyDescent="0.25">
      <c r="B1210" s="12"/>
      <c r="C1210" s="12"/>
      <c r="D1210" s="15"/>
      <c r="E1210" s="19"/>
      <c r="F1210" s="19"/>
      <c r="G1210" s="12"/>
    </row>
    <row r="1211" spans="2:7" x14ac:dyDescent="0.25">
      <c r="B1211" s="12"/>
      <c r="C1211" s="12"/>
      <c r="D1211" s="15"/>
      <c r="E1211" s="19"/>
      <c r="F1211" s="19"/>
      <c r="G1211" s="12"/>
    </row>
    <row r="1212" spans="2:7" x14ac:dyDescent="0.25">
      <c r="B1212" s="12"/>
      <c r="C1212" s="12"/>
      <c r="D1212" s="15"/>
      <c r="E1212" s="19"/>
      <c r="F1212" s="19"/>
      <c r="G1212" s="12"/>
    </row>
    <row r="1213" spans="2:7" x14ac:dyDescent="0.25">
      <c r="B1213" s="12"/>
      <c r="C1213" s="12"/>
      <c r="D1213" s="15"/>
      <c r="E1213" s="19"/>
      <c r="F1213" s="19"/>
      <c r="G1213" s="12"/>
    </row>
    <row r="1214" spans="2:7" x14ac:dyDescent="0.25">
      <c r="B1214" s="12"/>
      <c r="C1214" s="12"/>
      <c r="D1214" s="15"/>
      <c r="E1214" s="19"/>
      <c r="F1214" s="19"/>
      <c r="G1214" s="12"/>
    </row>
    <row r="1215" spans="2:7" x14ac:dyDescent="0.25">
      <c r="B1215" s="12"/>
      <c r="C1215" s="12"/>
      <c r="D1215" s="15"/>
      <c r="E1215" s="19"/>
      <c r="F1215" s="19"/>
      <c r="G1215" s="12"/>
    </row>
    <row r="1216" spans="2:7" x14ac:dyDescent="0.25">
      <c r="B1216" s="12"/>
      <c r="C1216" s="12"/>
      <c r="D1216" s="15"/>
      <c r="E1216" s="19"/>
      <c r="F1216" s="19"/>
      <c r="G1216" s="12"/>
    </row>
    <row r="1217" spans="2:7" x14ac:dyDescent="0.25">
      <c r="B1217" s="12"/>
      <c r="C1217" s="12"/>
      <c r="D1217" s="15"/>
      <c r="E1217" s="19"/>
      <c r="F1217" s="19"/>
      <c r="G1217" s="12"/>
    </row>
    <row r="1218" spans="2:7" x14ac:dyDescent="0.25">
      <c r="B1218" s="12"/>
      <c r="C1218" s="12"/>
      <c r="D1218" s="15"/>
      <c r="E1218" s="19"/>
      <c r="F1218" s="19"/>
      <c r="G1218" s="12"/>
    </row>
    <row r="1219" spans="2:7" x14ac:dyDescent="0.25">
      <c r="B1219" s="12"/>
      <c r="C1219" s="12"/>
      <c r="D1219" s="15"/>
      <c r="E1219" s="19"/>
      <c r="F1219" s="19"/>
      <c r="G1219" s="12"/>
    </row>
    <row r="1220" spans="2:7" x14ac:dyDescent="0.25">
      <c r="B1220" s="12"/>
      <c r="C1220" s="12"/>
      <c r="D1220" s="15"/>
      <c r="E1220" s="19"/>
      <c r="F1220" s="19"/>
      <c r="G1220" s="12"/>
    </row>
    <row r="1221" spans="2:7" x14ac:dyDescent="0.25">
      <c r="B1221" s="12"/>
      <c r="C1221" s="12"/>
      <c r="D1221" s="15"/>
      <c r="E1221" s="19"/>
      <c r="F1221" s="19"/>
      <c r="G1221" s="12"/>
    </row>
    <row r="1222" spans="2:7" x14ac:dyDescent="0.25">
      <c r="B1222" s="12"/>
      <c r="C1222" s="12"/>
      <c r="D1222" s="15"/>
      <c r="E1222" s="19"/>
      <c r="F1222" s="19"/>
      <c r="G1222" s="12"/>
    </row>
    <row r="1223" spans="2:7" x14ac:dyDescent="0.25">
      <c r="B1223" s="12"/>
      <c r="C1223" s="12"/>
      <c r="D1223" s="15"/>
      <c r="E1223" s="19"/>
      <c r="F1223" s="19"/>
      <c r="G1223" s="12"/>
    </row>
    <row r="1224" spans="2:7" x14ac:dyDescent="0.25">
      <c r="B1224" s="12"/>
      <c r="C1224" s="12"/>
      <c r="D1224" s="15"/>
      <c r="E1224" s="19"/>
      <c r="F1224" s="19"/>
      <c r="G1224" s="12"/>
    </row>
    <row r="1225" spans="2:7" x14ac:dyDescent="0.25">
      <c r="B1225" s="12"/>
      <c r="C1225" s="12"/>
      <c r="D1225" s="15"/>
      <c r="E1225" s="19"/>
      <c r="F1225" s="19"/>
      <c r="G1225" s="12"/>
    </row>
    <row r="1226" spans="2:7" x14ac:dyDescent="0.25">
      <c r="B1226" s="12"/>
      <c r="C1226" s="12"/>
      <c r="D1226" s="15"/>
      <c r="E1226" s="19"/>
      <c r="F1226" s="19"/>
      <c r="G1226" s="12"/>
    </row>
    <row r="1227" spans="2:7" x14ac:dyDescent="0.25">
      <c r="B1227" s="12"/>
      <c r="C1227" s="12"/>
      <c r="D1227" s="15"/>
      <c r="E1227" s="19"/>
      <c r="F1227" s="19"/>
      <c r="G1227" s="12"/>
    </row>
    <row r="1228" spans="2:7" x14ac:dyDescent="0.25">
      <c r="B1228" s="12"/>
      <c r="C1228" s="12"/>
      <c r="D1228" s="15"/>
      <c r="E1228" s="19"/>
      <c r="F1228" s="19"/>
      <c r="G1228" s="12"/>
    </row>
    <row r="1229" spans="2:7" x14ac:dyDescent="0.25">
      <c r="B1229" s="12"/>
      <c r="C1229" s="12"/>
      <c r="D1229" s="15"/>
      <c r="E1229" s="19"/>
      <c r="F1229" s="19"/>
      <c r="G1229" s="12"/>
    </row>
    <row r="1230" spans="2:7" x14ac:dyDescent="0.25">
      <c r="B1230" s="12"/>
      <c r="C1230" s="12"/>
      <c r="D1230" s="15"/>
      <c r="E1230" s="19"/>
      <c r="F1230" s="19"/>
      <c r="G1230" s="12"/>
    </row>
    <row r="1231" spans="2:7" x14ac:dyDescent="0.25">
      <c r="B1231" s="12"/>
      <c r="C1231" s="12"/>
      <c r="D1231" s="15"/>
      <c r="E1231" s="19"/>
      <c r="F1231" s="19"/>
      <c r="G1231" s="12"/>
    </row>
    <row r="1232" spans="2:7" x14ac:dyDescent="0.25">
      <c r="B1232" s="12"/>
      <c r="C1232" s="12"/>
      <c r="D1232" s="15"/>
      <c r="E1232" s="19"/>
      <c r="F1232" s="19"/>
      <c r="G1232" s="12"/>
    </row>
    <row r="1233" spans="2:7" x14ac:dyDescent="0.25">
      <c r="B1233" s="12"/>
      <c r="C1233" s="12"/>
      <c r="D1233" s="15"/>
      <c r="E1233" s="19"/>
      <c r="F1233" s="19"/>
      <c r="G1233" s="12"/>
    </row>
    <row r="1234" spans="2:7" x14ac:dyDescent="0.25">
      <c r="B1234" s="12"/>
      <c r="C1234" s="12"/>
      <c r="D1234" s="15"/>
      <c r="E1234" s="19"/>
      <c r="F1234" s="19"/>
      <c r="G1234" s="12"/>
    </row>
    <row r="1235" spans="2:7" x14ac:dyDescent="0.25">
      <c r="B1235" s="12"/>
      <c r="C1235" s="12"/>
      <c r="D1235" s="15"/>
      <c r="E1235" s="19"/>
      <c r="F1235" s="19"/>
      <c r="G1235" s="12"/>
    </row>
    <row r="1236" spans="2:7" x14ac:dyDescent="0.25">
      <c r="B1236" s="12"/>
      <c r="C1236" s="12"/>
      <c r="D1236" s="15"/>
      <c r="E1236" s="19"/>
      <c r="F1236" s="19"/>
      <c r="G1236" s="12"/>
    </row>
    <row r="1237" spans="2:7" x14ac:dyDescent="0.25">
      <c r="B1237" s="12"/>
      <c r="C1237" s="12"/>
      <c r="D1237" s="15"/>
      <c r="E1237" s="19"/>
      <c r="F1237" s="19"/>
      <c r="G1237" s="12"/>
    </row>
    <row r="1238" spans="2:7" x14ac:dyDescent="0.25">
      <c r="B1238" s="12"/>
      <c r="C1238" s="12"/>
      <c r="D1238" s="15"/>
      <c r="E1238" s="19"/>
      <c r="F1238" s="19"/>
      <c r="G1238" s="12"/>
    </row>
    <row r="1239" spans="2:7" x14ac:dyDescent="0.25">
      <c r="B1239" s="12"/>
      <c r="C1239" s="12"/>
      <c r="D1239" s="15"/>
      <c r="E1239" s="19"/>
      <c r="F1239" s="19"/>
      <c r="G1239" s="12"/>
    </row>
    <row r="1240" spans="2:7" x14ac:dyDescent="0.25">
      <c r="B1240" s="12"/>
      <c r="C1240" s="12"/>
      <c r="D1240" s="15"/>
      <c r="E1240" s="19"/>
      <c r="F1240" s="19"/>
      <c r="G1240" s="12"/>
    </row>
    <row r="1241" spans="2:7" x14ac:dyDescent="0.25">
      <c r="B1241" s="12"/>
      <c r="C1241" s="12"/>
      <c r="D1241" s="15"/>
      <c r="E1241" s="19"/>
      <c r="F1241" s="19"/>
      <c r="G1241" s="12"/>
    </row>
    <row r="1242" spans="2:7" x14ac:dyDescent="0.25">
      <c r="B1242" s="12"/>
      <c r="C1242" s="12"/>
      <c r="D1242" s="15"/>
      <c r="E1242" s="19"/>
      <c r="F1242" s="19"/>
      <c r="G1242" s="12"/>
    </row>
    <row r="1243" spans="2:7" x14ac:dyDescent="0.25">
      <c r="B1243" s="12"/>
      <c r="C1243" s="12"/>
      <c r="D1243" s="15"/>
      <c r="E1243" s="19"/>
      <c r="F1243" s="19"/>
      <c r="G1243" s="12"/>
    </row>
    <row r="1244" spans="2:7" x14ac:dyDescent="0.25">
      <c r="B1244" s="12"/>
      <c r="C1244" s="12"/>
      <c r="D1244" s="15"/>
      <c r="E1244" s="19"/>
      <c r="F1244" s="19"/>
      <c r="G1244" s="12"/>
    </row>
    <row r="1245" spans="2:7" x14ac:dyDescent="0.25">
      <c r="B1245" s="12"/>
      <c r="C1245" s="12"/>
      <c r="D1245" s="15"/>
      <c r="E1245" s="19"/>
      <c r="F1245" s="19"/>
      <c r="G1245" s="12"/>
    </row>
    <row r="1246" spans="2:7" x14ac:dyDescent="0.25">
      <c r="B1246" s="12"/>
      <c r="C1246" s="12"/>
      <c r="D1246" s="15"/>
      <c r="E1246" s="19"/>
      <c r="F1246" s="19"/>
      <c r="G1246" s="12"/>
    </row>
    <row r="1247" spans="2:7" x14ac:dyDescent="0.25">
      <c r="B1247" s="12"/>
      <c r="C1247" s="12"/>
      <c r="D1247" s="15"/>
      <c r="E1247" s="19"/>
      <c r="F1247" s="19"/>
      <c r="G1247" s="12"/>
    </row>
    <row r="1248" spans="2:7" x14ac:dyDescent="0.25">
      <c r="B1248" s="12"/>
      <c r="C1248" s="12"/>
      <c r="D1248" s="15"/>
      <c r="E1248" s="19"/>
      <c r="F1248" s="19"/>
      <c r="G1248" s="12"/>
    </row>
    <row r="1249" spans="2:7" x14ac:dyDescent="0.25">
      <c r="B1249" s="12"/>
      <c r="C1249" s="12"/>
      <c r="D1249" s="15"/>
      <c r="E1249" s="19"/>
      <c r="F1249" s="19"/>
      <c r="G1249" s="12"/>
    </row>
    <row r="1250" spans="2:7" x14ac:dyDescent="0.25">
      <c r="B1250" s="12"/>
      <c r="C1250" s="12"/>
      <c r="D1250" s="15"/>
      <c r="E1250" s="19"/>
      <c r="F1250" s="19"/>
      <c r="G1250" s="12"/>
    </row>
    <row r="1251" spans="2:7" x14ac:dyDescent="0.25">
      <c r="B1251" s="12"/>
      <c r="C1251" s="12"/>
      <c r="D1251" s="15"/>
      <c r="E1251" s="19"/>
      <c r="F1251" s="19"/>
      <c r="G1251" s="12"/>
    </row>
    <row r="1252" spans="2:7" x14ac:dyDescent="0.25">
      <c r="B1252" s="12"/>
      <c r="C1252" s="12"/>
      <c r="D1252" s="15"/>
      <c r="E1252" s="19"/>
      <c r="F1252" s="19"/>
      <c r="G1252" s="12"/>
    </row>
    <row r="1253" spans="2:7" x14ac:dyDescent="0.25">
      <c r="B1253" s="12"/>
      <c r="C1253" s="12"/>
      <c r="D1253" s="15"/>
      <c r="E1253" s="19"/>
      <c r="F1253" s="19"/>
      <c r="G1253" s="12"/>
    </row>
    <row r="1254" spans="2:7" x14ac:dyDescent="0.25">
      <c r="B1254" s="12"/>
      <c r="C1254" s="12"/>
      <c r="D1254" s="15"/>
      <c r="E1254" s="19"/>
      <c r="F1254" s="19"/>
      <c r="G1254" s="12"/>
    </row>
    <row r="1255" spans="2:7" x14ac:dyDescent="0.25">
      <c r="B1255" s="12"/>
      <c r="C1255" s="12"/>
      <c r="D1255" s="15"/>
      <c r="E1255" s="19"/>
      <c r="F1255" s="19"/>
      <c r="G1255" s="12"/>
    </row>
    <row r="1256" spans="2:7" x14ac:dyDescent="0.25">
      <c r="B1256" s="12"/>
      <c r="C1256" s="12"/>
      <c r="D1256" s="15"/>
      <c r="E1256" s="19"/>
      <c r="F1256" s="19"/>
      <c r="G1256" s="12"/>
    </row>
    <row r="1257" spans="2:7" x14ac:dyDescent="0.25">
      <c r="B1257" s="12"/>
      <c r="C1257" s="12"/>
      <c r="D1257" s="15"/>
      <c r="E1257" s="19"/>
      <c r="F1257" s="19"/>
      <c r="G1257" s="12"/>
    </row>
    <row r="1258" spans="2:7" x14ac:dyDescent="0.25">
      <c r="B1258" s="12"/>
      <c r="C1258" s="12"/>
      <c r="D1258" s="15"/>
      <c r="E1258" s="19"/>
      <c r="F1258" s="19"/>
      <c r="G1258" s="12"/>
    </row>
    <row r="1259" spans="2:7" x14ac:dyDescent="0.25">
      <c r="B1259" s="12"/>
      <c r="C1259" s="12"/>
      <c r="D1259" s="15"/>
      <c r="E1259" s="19"/>
      <c r="F1259" s="19"/>
      <c r="G1259" s="12"/>
    </row>
    <row r="1260" spans="2:7" x14ac:dyDescent="0.25">
      <c r="B1260" s="12"/>
      <c r="C1260" s="12"/>
      <c r="D1260" s="15"/>
      <c r="E1260" s="19"/>
      <c r="F1260" s="19"/>
      <c r="G1260" s="12"/>
    </row>
    <row r="1261" spans="2:7" x14ac:dyDescent="0.25">
      <c r="B1261" s="12"/>
      <c r="C1261" s="12"/>
      <c r="D1261" s="15"/>
      <c r="E1261" s="19"/>
      <c r="F1261" s="19"/>
      <c r="G1261" s="12"/>
    </row>
    <row r="1262" spans="2:7" x14ac:dyDescent="0.25">
      <c r="B1262" s="12"/>
      <c r="C1262" s="12"/>
      <c r="D1262" s="15"/>
      <c r="E1262" s="19"/>
      <c r="F1262" s="19"/>
      <c r="G1262" s="12"/>
    </row>
    <row r="1263" spans="2:7" x14ac:dyDescent="0.25">
      <c r="B1263" s="12"/>
      <c r="C1263" s="12"/>
      <c r="D1263" s="15"/>
      <c r="E1263" s="19"/>
      <c r="F1263" s="19"/>
      <c r="G1263" s="12"/>
    </row>
    <row r="1264" spans="2:7" x14ac:dyDescent="0.25">
      <c r="B1264" s="12"/>
      <c r="C1264" s="12"/>
      <c r="D1264" s="15"/>
      <c r="E1264" s="19"/>
      <c r="F1264" s="19"/>
      <c r="G1264" s="12"/>
    </row>
    <row r="1265" spans="2:7" x14ac:dyDescent="0.25">
      <c r="B1265" s="12"/>
      <c r="C1265" s="12"/>
      <c r="D1265" s="15"/>
      <c r="E1265" s="19"/>
      <c r="F1265" s="19"/>
      <c r="G1265" s="12"/>
    </row>
    <row r="1266" spans="2:7" x14ac:dyDescent="0.25">
      <c r="B1266" s="12"/>
      <c r="C1266" s="12"/>
      <c r="D1266" s="15"/>
      <c r="E1266" s="19"/>
      <c r="F1266" s="19"/>
      <c r="G1266" s="12"/>
    </row>
    <row r="1267" spans="2:7" x14ac:dyDescent="0.25">
      <c r="B1267" s="12"/>
      <c r="C1267" s="12"/>
      <c r="D1267" s="15"/>
      <c r="E1267" s="19"/>
      <c r="F1267" s="19"/>
      <c r="G1267" s="12"/>
    </row>
    <row r="1268" spans="2:7" x14ac:dyDescent="0.25">
      <c r="B1268" s="12"/>
      <c r="C1268" s="12"/>
      <c r="D1268" s="15"/>
      <c r="E1268" s="19"/>
      <c r="F1268" s="19"/>
      <c r="G1268" s="12"/>
    </row>
    <row r="1269" spans="2:7" x14ac:dyDescent="0.25">
      <c r="B1269" s="12"/>
      <c r="C1269" s="12"/>
      <c r="D1269" s="15"/>
      <c r="E1269" s="19"/>
      <c r="F1269" s="19"/>
      <c r="G1269" s="12"/>
    </row>
    <row r="1270" spans="2:7" x14ac:dyDescent="0.25">
      <c r="B1270" s="12"/>
      <c r="C1270" s="12"/>
      <c r="D1270" s="15"/>
      <c r="E1270" s="19"/>
      <c r="F1270" s="19"/>
      <c r="G1270" s="12"/>
    </row>
    <row r="1271" spans="2:7" x14ac:dyDescent="0.25">
      <c r="B1271" s="12"/>
      <c r="C1271" s="12"/>
      <c r="D1271" s="15"/>
      <c r="E1271" s="19"/>
      <c r="F1271" s="19"/>
      <c r="G1271" s="12"/>
    </row>
    <row r="1272" spans="2:7" x14ac:dyDescent="0.25">
      <c r="B1272" s="12"/>
      <c r="C1272" s="12"/>
      <c r="D1272" s="15"/>
      <c r="E1272" s="19"/>
      <c r="F1272" s="19"/>
      <c r="G1272" s="12"/>
    </row>
    <row r="1273" spans="2:7" x14ac:dyDescent="0.25">
      <c r="B1273" s="12"/>
      <c r="C1273" s="12"/>
      <c r="D1273" s="15"/>
      <c r="E1273" s="19"/>
      <c r="F1273" s="19"/>
      <c r="G1273" s="12"/>
    </row>
    <row r="1274" spans="2:7" x14ac:dyDescent="0.25">
      <c r="B1274" s="12"/>
      <c r="C1274" s="12"/>
      <c r="D1274" s="15"/>
      <c r="E1274" s="19"/>
      <c r="F1274" s="19"/>
      <c r="G1274" s="12"/>
    </row>
    <row r="1275" spans="2:7" x14ac:dyDescent="0.25">
      <c r="B1275" s="12"/>
      <c r="C1275" s="12"/>
      <c r="D1275" s="15"/>
      <c r="E1275" s="19"/>
      <c r="F1275" s="19"/>
      <c r="G1275" s="12"/>
    </row>
    <row r="1276" spans="2:7" x14ac:dyDescent="0.25">
      <c r="B1276" s="12"/>
      <c r="C1276" s="12"/>
      <c r="D1276" s="15"/>
      <c r="E1276" s="19"/>
      <c r="F1276" s="19"/>
      <c r="G1276" s="12"/>
    </row>
    <row r="1277" spans="2:7" x14ac:dyDescent="0.25">
      <c r="B1277" s="12"/>
      <c r="C1277" s="12"/>
      <c r="D1277" s="15"/>
      <c r="E1277" s="19"/>
      <c r="F1277" s="19"/>
      <c r="G1277" s="12"/>
    </row>
    <row r="1278" spans="2:7" x14ac:dyDescent="0.25">
      <c r="B1278" s="12"/>
      <c r="C1278" s="12"/>
      <c r="D1278" s="15"/>
      <c r="E1278" s="19"/>
      <c r="F1278" s="19"/>
      <c r="G1278" s="12"/>
    </row>
    <row r="1279" spans="2:7" x14ac:dyDescent="0.25">
      <c r="B1279" s="12"/>
      <c r="C1279" s="12"/>
      <c r="D1279" s="15"/>
      <c r="E1279" s="19"/>
      <c r="F1279" s="19"/>
      <c r="G1279" s="12"/>
    </row>
    <row r="1280" spans="2:7" x14ac:dyDescent="0.25">
      <c r="B1280" s="12"/>
      <c r="C1280" s="12"/>
      <c r="D1280" s="15"/>
      <c r="E1280" s="19"/>
      <c r="F1280" s="19"/>
      <c r="G1280" s="12"/>
    </row>
    <row r="1281" spans="2:7" x14ac:dyDescent="0.25">
      <c r="B1281" s="12"/>
      <c r="C1281" s="12"/>
      <c r="D1281" s="15"/>
      <c r="E1281" s="19"/>
      <c r="F1281" s="19"/>
      <c r="G1281" s="12"/>
    </row>
    <row r="1282" spans="2:7" x14ac:dyDescent="0.25">
      <c r="B1282" s="12"/>
      <c r="C1282" s="12"/>
      <c r="D1282" s="15"/>
      <c r="E1282" s="19"/>
      <c r="F1282" s="19"/>
      <c r="G1282" s="12"/>
    </row>
    <row r="1283" spans="2:7" x14ac:dyDescent="0.25">
      <c r="B1283" s="12"/>
      <c r="C1283" s="12"/>
      <c r="D1283" s="15"/>
      <c r="E1283" s="19"/>
      <c r="F1283" s="19"/>
      <c r="G1283" s="12"/>
    </row>
    <row r="1284" spans="2:7" x14ac:dyDescent="0.25">
      <c r="B1284" s="12"/>
      <c r="C1284" s="12"/>
      <c r="D1284" s="15"/>
      <c r="E1284" s="19"/>
      <c r="F1284" s="19"/>
      <c r="G1284" s="12"/>
    </row>
    <row r="1285" spans="2:7" x14ac:dyDescent="0.25">
      <c r="B1285" s="12"/>
      <c r="C1285" s="12"/>
      <c r="D1285" s="15"/>
      <c r="E1285" s="19"/>
      <c r="F1285" s="19"/>
      <c r="G1285" s="12"/>
    </row>
    <row r="1286" spans="2:7" x14ac:dyDescent="0.25">
      <c r="B1286" s="12"/>
      <c r="C1286" s="12"/>
      <c r="D1286" s="15"/>
      <c r="E1286" s="19"/>
      <c r="F1286" s="19"/>
      <c r="G1286" s="12"/>
    </row>
    <row r="1287" spans="2:7" x14ac:dyDescent="0.25">
      <c r="B1287" s="12"/>
      <c r="C1287" s="12"/>
      <c r="D1287" s="15"/>
      <c r="E1287" s="19"/>
      <c r="F1287" s="19"/>
      <c r="G1287" s="12"/>
    </row>
    <row r="1288" spans="2:7" x14ac:dyDescent="0.25">
      <c r="B1288" s="12"/>
      <c r="C1288" s="12"/>
      <c r="D1288" s="15"/>
      <c r="E1288" s="19"/>
      <c r="F1288" s="19"/>
      <c r="G1288" s="12"/>
    </row>
    <row r="1289" spans="2:7" x14ac:dyDescent="0.25">
      <c r="B1289" s="12"/>
      <c r="C1289" s="12"/>
      <c r="D1289" s="15"/>
      <c r="E1289" s="19"/>
      <c r="F1289" s="19"/>
      <c r="G1289" s="12"/>
    </row>
    <row r="1290" spans="2:7" x14ac:dyDescent="0.25">
      <c r="B1290" s="12"/>
      <c r="C1290" s="12"/>
      <c r="D1290" s="15"/>
      <c r="E1290" s="19"/>
      <c r="F1290" s="19"/>
      <c r="G1290" s="12"/>
    </row>
    <row r="1291" spans="2:7" x14ac:dyDescent="0.25">
      <c r="B1291" s="12"/>
      <c r="C1291" s="12"/>
      <c r="D1291" s="15"/>
      <c r="E1291" s="19"/>
      <c r="F1291" s="19"/>
      <c r="G1291" s="12"/>
    </row>
    <row r="1292" spans="2:7" x14ac:dyDescent="0.25">
      <c r="B1292" s="12"/>
      <c r="C1292" s="12"/>
      <c r="D1292" s="15"/>
      <c r="E1292" s="19"/>
      <c r="F1292" s="19"/>
      <c r="G1292" s="12"/>
    </row>
    <row r="1293" spans="2:7" x14ac:dyDescent="0.25">
      <c r="B1293" s="12"/>
      <c r="C1293" s="12"/>
      <c r="D1293" s="15"/>
      <c r="E1293" s="19"/>
      <c r="F1293" s="19"/>
      <c r="G1293" s="12"/>
    </row>
    <row r="1294" spans="2:7" x14ac:dyDescent="0.25">
      <c r="B1294" s="12"/>
      <c r="C1294" s="12"/>
      <c r="D1294" s="15"/>
      <c r="E1294" s="19"/>
      <c r="F1294" s="19"/>
      <c r="G1294" s="12"/>
    </row>
    <row r="1295" spans="2:7" x14ac:dyDescent="0.25">
      <c r="B1295" s="12"/>
      <c r="C1295" s="12"/>
      <c r="D1295" s="15"/>
      <c r="E1295" s="19"/>
      <c r="F1295" s="19"/>
      <c r="G1295" s="12"/>
    </row>
    <row r="1296" spans="2:7" x14ac:dyDescent="0.25">
      <c r="B1296" s="12"/>
      <c r="C1296" s="12"/>
      <c r="D1296" s="15"/>
      <c r="E1296" s="19"/>
      <c r="F1296" s="19"/>
      <c r="G1296" s="12"/>
    </row>
    <row r="1297" spans="2:7" x14ac:dyDescent="0.25">
      <c r="B1297" s="12"/>
      <c r="C1297" s="12"/>
      <c r="D1297" s="15"/>
      <c r="E1297" s="19"/>
      <c r="F1297" s="19"/>
      <c r="G1297" s="12"/>
    </row>
    <row r="1298" spans="2:7" x14ac:dyDescent="0.25">
      <c r="B1298" s="12"/>
      <c r="C1298" s="12"/>
      <c r="D1298" s="15"/>
      <c r="E1298" s="19"/>
      <c r="F1298" s="19"/>
      <c r="G1298" s="12"/>
    </row>
    <row r="1299" spans="2:7" x14ac:dyDescent="0.25">
      <c r="B1299" s="12"/>
      <c r="C1299" s="12"/>
      <c r="D1299" s="15"/>
      <c r="E1299" s="19"/>
      <c r="F1299" s="19"/>
      <c r="G1299" s="12"/>
    </row>
    <row r="1300" spans="2:7" x14ac:dyDescent="0.25">
      <c r="B1300" s="12"/>
      <c r="C1300" s="12"/>
      <c r="D1300" s="15"/>
      <c r="E1300" s="19"/>
      <c r="F1300" s="19"/>
      <c r="G1300" s="12"/>
    </row>
    <row r="1301" spans="2:7" x14ac:dyDescent="0.25">
      <c r="B1301" s="12"/>
      <c r="C1301" s="12"/>
      <c r="D1301" s="15"/>
      <c r="E1301" s="19"/>
      <c r="F1301" s="19"/>
      <c r="G1301" s="12"/>
    </row>
    <row r="1302" spans="2:7" x14ac:dyDescent="0.25">
      <c r="B1302" s="12"/>
      <c r="C1302" s="12"/>
      <c r="D1302" s="15"/>
      <c r="E1302" s="19"/>
      <c r="F1302" s="19"/>
      <c r="G1302" s="12"/>
    </row>
    <row r="1303" spans="2:7" x14ac:dyDescent="0.25">
      <c r="B1303" s="12"/>
      <c r="C1303" s="12"/>
      <c r="D1303" s="15"/>
      <c r="E1303" s="19"/>
      <c r="F1303" s="19"/>
      <c r="G1303" s="12"/>
    </row>
    <row r="1304" spans="2:7" x14ac:dyDescent="0.25">
      <c r="B1304" s="12"/>
      <c r="C1304" s="12"/>
      <c r="D1304" s="15"/>
      <c r="E1304" s="19"/>
      <c r="F1304" s="19"/>
      <c r="G1304" s="12"/>
    </row>
    <row r="1305" spans="2:7" x14ac:dyDescent="0.25">
      <c r="B1305" s="12"/>
      <c r="C1305" s="12"/>
      <c r="D1305" s="15"/>
      <c r="E1305" s="19"/>
      <c r="F1305" s="19"/>
      <c r="G1305" s="12"/>
    </row>
    <row r="1306" spans="2:7" x14ac:dyDescent="0.25">
      <c r="B1306" s="12"/>
      <c r="C1306" s="12"/>
      <c r="D1306" s="15"/>
      <c r="E1306" s="19"/>
      <c r="F1306" s="19"/>
      <c r="G1306" s="12"/>
    </row>
    <row r="1307" spans="2:7" x14ac:dyDescent="0.25">
      <c r="B1307" s="12"/>
      <c r="C1307" s="12"/>
      <c r="D1307" s="15"/>
      <c r="E1307" s="19"/>
      <c r="F1307" s="19"/>
      <c r="G1307" s="12"/>
    </row>
    <row r="1308" spans="2:7" x14ac:dyDescent="0.25">
      <c r="B1308" s="12"/>
      <c r="C1308" s="12"/>
      <c r="D1308" s="15"/>
      <c r="E1308" s="19"/>
      <c r="F1308" s="19"/>
      <c r="G1308" s="12"/>
    </row>
    <row r="1309" spans="2:7" x14ac:dyDescent="0.25">
      <c r="B1309" s="12"/>
      <c r="C1309" s="12"/>
      <c r="D1309" s="15"/>
      <c r="E1309" s="19"/>
      <c r="F1309" s="19"/>
      <c r="G1309" s="12"/>
    </row>
    <row r="1310" spans="2:7" x14ac:dyDescent="0.25">
      <c r="B1310" s="12"/>
      <c r="C1310" s="12"/>
      <c r="D1310" s="15"/>
      <c r="E1310" s="19"/>
      <c r="F1310" s="19"/>
      <c r="G1310" s="12"/>
    </row>
    <row r="1311" spans="2:7" x14ac:dyDescent="0.25">
      <c r="B1311" s="12"/>
      <c r="C1311" s="12"/>
      <c r="D1311" s="15"/>
      <c r="E1311" s="19"/>
      <c r="F1311" s="19"/>
      <c r="G1311" s="12"/>
    </row>
    <row r="1312" spans="2:7" x14ac:dyDescent="0.25">
      <c r="B1312" s="12"/>
      <c r="C1312" s="12"/>
      <c r="D1312" s="15"/>
      <c r="E1312" s="19"/>
      <c r="F1312" s="19"/>
      <c r="G1312" s="12"/>
    </row>
    <row r="1313" spans="2:7" x14ac:dyDescent="0.25">
      <c r="B1313" s="12"/>
      <c r="C1313" s="12"/>
      <c r="D1313" s="15"/>
      <c r="E1313" s="19"/>
      <c r="F1313" s="19"/>
      <c r="G1313" s="12"/>
    </row>
    <row r="1314" spans="2:7" x14ac:dyDescent="0.25">
      <c r="B1314" s="12"/>
      <c r="C1314" s="12"/>
      <c r="D1314" s="15"/>
      <c r="E1314" s="19"/>
      <c r="F1314" s="19"/>
      <c r="G1314" s="12"/>
    </row>
    <row r="1315" spans="2:7" x14ac:dyDescent="0.25">
      <c r="B1315" s="12"/>
      <c r="C1315" s="12"/>
      <c r="D1315" s="15"/>
      <c r="E1315" s="19"/>
      <c r="F1315" s="19"/>
      <c r="G1315" s="12"/>
    </row>
    <row r="1316" spans="2:7" x14ac:dyDescent="0.25">
      <c r="B1316" s="12"/>
      <c r="C1316" s="12"/>
      <c r="D1316" s="15"/>
      <c r="E1316" s="19"/>
      <c r="F1316" s="19"/>
      <c r="G1316" s="12"/>
    </row>
    <row r="1317" spans="2:7" x14ac:dyDescent="0.25">
      <c r="B1317" s="12"/>
      <c r="C1317" s="12"/>
      <c r="D1317" s="15"/>
      <c r="E1317" s="19"/>
      <c r="F1317" s="19"/>
      <c r="G1317" s="12"/>
    </row>
    <row r="1318" spans="2:7" x14ac:dyDescent="0.25">
      <c r="B1318" s="12"/>
      <c r="C1318" s="12"/>
      <c r="D1318" s="15"/>
      <c r="E1318" s="19"/>
      <c r="F1318" s="19"/>
      <c r="G1318" s="12"/>
    </row>
    <row r="1319" spans="2:7" x14ac:dyDescent="0.25">
      <c r="B1319" s="12"/>
      <c r="C1319" s="12"/>
      <c r="D1319" s="15"/>
      <c r="E1319" s="19"/>
      <c r="F1319" s="19"/>
      <c r="G1319" s="12"/>
    </row>
    <row r="1320" spans="2:7" x14ac:dyDescent="0.25">
      <c r="B1320" s="12"/>
      <c r="C1320" s="12"/>
      <c r="D1320" s="15"/>
      <c r="E1320" s="19"/>
      <c r="F1320" s="19"/>
      <c r="G1320" s="12"/>
    </row>
    <row r="1321" spans="2:7" x14ac:dyDescent="0.25">
      <c r="B1321" s="12"/>
      <c r="C1321" s="12"/>
      <c r="D1321" s="15"/>
      <c r="E1321" s="19"/>
      <c r="F1321" s="19"/>
      <c r="G1321" s="12"/>
    </row>
    <row r="1322" spans="2:7" x14ac:dyDescent="0.25">
      <c r="B1322" s="12"/>
      <c r="C1322" s="12"/>
      <c r="D1322" s="15"/>
      <c r="E1322" s="19"/>
      <c r="F1322" s="19"/>
      <c r="G1322" s="12"/>
    </row>
    <row r="1323" spans="2:7" x14ac:dyDescent="0.25">
      <c r="B1323" s="12"/>
      <c r="C1323" s="12"/>
      <c r="D1323" s="15"/>
      <c r="E1323" s="19"/>
      <c r="F1323" s="19"/>
      <c r="G1323" s="12"/>
    </row>
    <row r="1324" spans="2:7" x14ac:dyDescent="0.25">
      <c r="B1324" s="12"/>
      <c r="C1324" s="12"/>
      <c r="D1324" s="15"/>
      <c r="E1324" s="19"/>
      <c r="F1324" s="19"/>
      <c r="G1324" s="12"/>
    </row>
    <row r="1325" spans="2:7" x14ac:dyDescent="0.25">
      <c r="B1325" s="12"/>
      <c r="C1325" s="12"/>
      <c r="D1325" s="15"/>
      <c r="E1325" s="19"/>
      <c r="F1325" s="19"/>
      <c r="G1325" s="12"/>
    </row>
    <row r="1326" spans="2:7" x14ac:dyDescent="0.25">
      <c r="B1326" s="12"/>
      <c r="C1326" s="12"/>
      <c r="D1326" s="15"/>
      <c r="E1326" s="19"/>
      <c r="F1326" s="19"/>
      <c r="G1326" s="12"/>
    </row>
    <row r="1327" spans="2:7" x14ac:dyDescent="0.25">
      <c r="B1327" s="12"/>
      <c r="C1327" s="12"/>
      <c r="D1327" s="15"/>
      <c r="E1327" s="19"/>
      <c r="F1327" s="19"/>
      <c r="G1327" s="12"/>
    </row>
    <row r="1328" spans="2:7" x14ac:dyDescent="0.25">
      <c r="B1328" s="12"/>
      <c r="C1328" s="12"/>
      <c r="D1328" s="15"/>
      <c r="E1328" s="19"/>
      <c r="F1328" s="19"/>
      <c r="G1328" s="12"/>
    </row>
    <row r="1329" spans="2:7" x14ac:dyDescent="0.25">
      <c r="B1329" s="12"/>
      <c r="C1329" s="12"/>
      <c r="D1329" s="15"/>
      <c r="E1329" s="19"/>
      <c r="F1329" s="19"/>
      <c r="G1329" s="12"/>
    </row>
    <row r="1330" spans="2:7" x14ac:dyDescent="0.25">
      <c r="B1330" s="12"/>
      <c r="C1330" s="12"/>
      <c r="D1330" s="15"/>
      <c r="E1330" s="19"/>
      <c r="F1330" s="19"/>
      <c r="G1330" s="12"/>
    </row>
    <row r="1331" spans="2:7" x14ac:dyDescent="0.25">
      <c r="B1331" s="12"/>
      <c r="C1331" s="12"/>
      <c r="D1331" s="15"/>
      <c r="E1331" s="19"/>
      <c r="F1331" s="19"/>
      <c r="G1331" s="12"/>
    </row>
    <row r="1332" spans="2:7" x14ac:dyDescent="0.25">
      <c r="B1332" s="12"/>
      <c r="C1332" s="12"/>
      <c r="D1332" s="15"/>
      <c r="E1332" s="19"/>
      <c r="F1332" s="19"/>
      <c r="G1332" s="12"/>
    </row>
    <row r="1333" spans="2:7" x14ac:dyDescent="0.25">
      <c r="B1333" s="12"/>
      <c r="C1333" s="12"/>
      <c r="D1333" s="15"/>
      <c r="E1333" s="19"/>
      <c r="F1333" s="19"/>
      <c r="G1333" s="12"/>
    </row>
    <row r="1334" spans="2:7" x14ac:dyDescent="0.25">
      <c r="B1334" s="12"/>
      <c r="C1334" s="12"/>
      <c r="D1334" s="15"/>
      <c r="E1334" s="19"/>
      <c r="F1334" s="19"/>
      <c r="G1334" s="12"/>
    </row>
    <row r="1335" spans="2:7" x14ac:dyDescent="0.25">
      <c r="B1335" s="12"/>
      <c r="C1335" s="12"/>
      <c r="D1335" s="15"/>
      <c r="E1335" s="19"/>
      <c r="F1335" s="19"/>
      <c r="G1335" s="12"/>
    </row>
    <row r="1336" spans="2:7" x14ac:dyDescent="0.25">
      <c r="B1336" s="12"/>
      <c r="C1336" s="12"/>
      <c r="D1336" s="15"/>
      <c r="E1336" s="19"/>
      <c r="F1336" s="19"/>
      <c r="G1336" s="12"/>
    </row>
    <row r="1337" spans="2:7" x14ac:dyDescent="0.25">
      <c r="B1337" s="12"/>
      <c r="C1337" s="12"/>
      <c r="D1337" s="15"/>
      <c r="E1337" s="19"/>
      <c r="F1337" s="19"/>
      <c r="G1337" s="12"/>
    </row>
    <row r="1338" spans="2:7" x14ac:dyDescent="0.25">
      <c r="B1338" s="12"/>
      <c r="C1338" s="12"/>
      <c r="D1338" s="15"/>
      <c r="E1338" s="19"/>
      <c r="F1338" s="19"/>
      <c r="G1338" s="12"/>
    </row>
    <row r="1339" spans="2:7" x14ac:dyDescent="0.25">
      <c r="B1339" s="12"/>
      <c r="C1339" s="12"/>
      <c r="D1339" s="15"/>
      <c r="E1339" s="19"/>
      <c r="F1339" s="19"/>
      <c r="G1339" s="12"/>
    </row>
    <row r="1340" spans="2:7" x14ac:dyDescent="0.25">
      <c r="B1340" s="12"/>
      <c r="C1340" s="12"/>
      <c r="D1340" s="15"/>
      <c r="E1340" s="19"/>
      <c r="F1340" s="19"/>
      <c r="G1340" s="12"/>
    </row>
    <row r="1341" spans="2:7" x14ac:dyDescent="0.25">
      <c r="B1341" s="12"/>
      <c r="C1341" s="12"/>
      <c r="D1341" s="15"/>
      <c r="E1341" s="19"/>
      <c r="F1341" s="19"/>
      <c r="G1341" s="12"/>
    </row>
    <row r="1342" spans="2:7" x14ac:dyDescent="0.25">
      <c r="B1342" s="12"/>
      <c r="C1342" s="12"/>
      <c r="D1342" s="15"/>
      <c r="E1342" s="19"/>
      <c r="F1342" s="19"/>
      <c r="G1342" s="12"/>
    </row>
    <row r="1343" spans="2:7" x14ac:dyDescent="0.25">
      <c r="B1343" s="12"/>
      <c r="C1343" s="12"/>
      <c r="D1343" s="15"/>
      <c r="E1343" s="19"/>
      <c r="F1343" s="19"/>
      <c r="G1343" s="12"/>
    </row>
    <row r="1344" spans="2:7" x14ac:dyDescent="0.25">
      <c r="B1344" s="12"/>
      <c r="C1344" s="12"/>
      <c r="D1344" s="15"/>
      <c r="E1344" s="19"/>
      <c r="F1344" s="19"/>
      <c r="G1344" s="12"/>
    </row>
    <row r="1345" spans="2:7" x14ac:dyDescent="0.25">
      <c r="B1345" s="12"/>
      <c r="C1345" s="12"/>
      <c r="D1345" s="15"/>
      <c r="E1345" s="19"/>
      <c r="F1345" s="19"/>
      <c r="G1345" s="12"/>
    </row>
    <row r="1346" spans="2:7" x14ac:dyDescent="0.25">
      <c r="B1346" s="12"/>
      <c r="C1346" s="12"/>
      <c r="D1346" s="15"/>
      <c r="E1346" s="19"/>
      <c r="F1346" s="19"/>
      <c r="G1346" s="12"/>
    </row>
    <row r="1347" spans="2:7" x14ac:dyDescent="0.25">
      <c r="B1347" s="12"/>
      <c r="C1347" s="12"/>
      <c r="D1347" s="15"/>
      <c r="E1347" s="19"/>
      <c r="F1347" s="19"/>
      <c r="G1347" s="12"/>
    </row>
    <row r="1348" spans="2:7" x14ac:dyDescent="0.25">
      <c r="B1348" s="12"/>
      <c r="C1348" s="12"/>
      <c r="D1348" s="15"/>
      <c r="E1348" s="19"/>
      <c r="F1348" s="19"/>
      <c r="G1348" s="12"/>
    </row>
    <row r="1349" spans="2:7" x14ac:dyDescent="0.25">
      <c r="B1349" s="12"/>
      <c r="C1349" s="12"/>
      <c r="D1349" s="15"/>
      <c r="E1349" s="19"/>
      <c r="F1349" s="19"/>
      <c r="G1349" s="12"/>
    </row>
    <row r="1350" spans="2:7" x14ac:dyDescent="0.25">
      <c r="B1350" s="12"/>
      <c r="C1350" s="12"/>
      <c r="D1350" s="15"/>
      <c r="E1350" s="19"/>
      <c r="F1350" s="19"/>
      <c r="G1350" s="12"/>
    </row>
    <row r="1351" spans="2:7" x14ac:dyDescent="0.25">
      <c r="B1351" s="12"/>
      <c r="C1351" s="12"/>
      <c r="D1351" s="15"/>
      <c r="E1351" s="19"/>
      <c r="F1351" s="19"/>
      <c r="G1351" s="12"/>
    </row>
    <row r="1352" spans="2:7" x14ac:dyDescent="0.25">
      <c r="B1352" s="12"/>
      <c r="C1352" s="12"/>
      <c r="D1352" s="15"/>
      <c r="E1352" s="19"/>
      <c r="F1352" s="19"/>
      <c r="G1352" s="12"/>
    </row>
    <row r="1353" spans="2:7" x14ac:dyDescent="0.25">
      <c r="B1353" s="12"/>
      <c r="C1353" s="12"/>
      <c r="D1353" s="15"/>
      <c r="E1353" s="19"/>
      <c r="F1353" s="19"/>
      <c r="G1353" s="12"/>
    </row>
    <row r="1354" spans="2:7" x14ac:dyDescent="0.25">
      <c r="B1354" s="12"/>
      <c r="C1354" s="12"/>
      <c r="D1354" s="15"/>
      <c r="E1354" s="19"/>
      <c r="F1354" s="19"/>
      <c r="G1354" s="12"/>
    </row>
    <row r="1355" spans="2:7" x14ac:dyDescent="0.25">
      <c r="B1355" s="12"/>
      <c r="C1355" s="12"/>
      <c r="D1355" s="15"/>
      <c r="E1355" s="19"/>
      <c r="F1355" s="19"/>
      <c r="G1355" s="12"/>
    </row>
    <row r="1356" spans="2:7" x14ac:dyDescent="0.25">
      <c r="B1356" s="12"/>
      <c r="C1356" s="12"/>
      <c r="D1356" s="15"/>
      <c r="E1356" s="19"/>
      <c r="F1356" s="19"/>
      <c r="G1356" s="12"/>
    </row>
    <row r="1357" spans="2:7" x14ac:dyDescent="0.25">
      <c r="B1357" s="12"/>
      <c r="C1357" s="12"/>
      <c r="D1357" s="15"/>
      <c r="E1357" s="19"/>
      <c r="F1357" s="19"/>
      <c r="G1357" s="12"/>
    </row>
    <row r="1358" spans="2:7" x14ac:dyDescent="0.25">
      <c r="B1358" s="12"/>
      <c r="C1358" s="12"/>
      <c r="D1358" s="15"/>
      <c r="E1358" s="19"/>
      <c r="F1358" s="19"/>
      <c r="G1358" s="12"/>
    </row>
    <row r="1359" spans="2:7" x14ac:dyDescent="0.25">
      <c r="B1359" s="12"/>
      <c r="C1359" s="12"/>
      <c r="D1359" s="15"/>
      <c r="E1359" s="19"/>
      <c r="F1359" s="19"/>
      <c r="G1359" s="12"/>
    </row>
    <row r="1360" spans="2:7" x14ac:dyDescent="0.25">
      <c r="B1360" s="12"/>
      <c r="C1360" s="12"/>
      <c r="D1360" s="15"/>
      <c r="E1360" s="19"/>
      <c r="F1360" s="19"/>
      <c r="G1360" s="12"/>
    </row>
    <row r="1361" spans="2:7" x14ac:dyDescent="0.25">
      <c r="B1361" s="12"/>
      <c r="C1361" s="12"/>
      <c r="D1361" s="15"/>
      <c r="E1361" s="19"/>
      <c r="F1361" s="19"/>
      <c r="G1361" s="12"/>
    </row>
    <row r="1362" spans="2:7" x14ac:dyDescent="0.25">
      <c r="B1362" s="12"/>
      <c r="C1362" s="12"/>
      <c r="D1362" s="15"/>
      <c r="E1362" s="19"/>
      <c r="F1362" s="19"/>
      <c r="G1362" s="12"/>
    </row>
    <row r="1363" spans="2:7" x14ac:dyDescent="0.25">
      <c r="B1363" s="12"/>
      <c r="C1363" s="12"/>
      <c r="D1363" s="15"/>
      <c r="E1363" s="19"/>
      <c r="F1363" s="19"/>
      <c r="G1363" s="12"/>
    </row>
    <row r="1364" spans="2:7" x14ac:dyDescent="0.25">
      <c r="B1364" s="12"/>
      <c r="C1364" s="12"/>
      <c r="D1364" s="15"/>
      <c r="E1364" s="19"/>
      <c r="F1364" s="19"/>
      <c r="G1364" s="12"/>
    </row>
    <row r="1365" spans="2:7" x14ac:dyDescent="0.25">
      <c r="B1365" s="12"/>
      <c r="C1365" s="12"/>
      <c r="D1365" s="15"/>
      <c r="E1365" s="19"/>
      <c r="F1365" s="19"/>
      <c r="G1365" s="12"/>
    </row>
    <row r="1366" spans="2:7" x14ac:dyDescent="0.25">
      <c r="B1366" s="12"/>
      <c r="C1366" s="12"/>
      <c r="D1366" s="15"/>
      <c r="E1366" s="19"/>
      <c r="F1366" s="19"/>
      <c r="G1366" s="12"/>
    </row>
    <row r="1367" spans="2:7" x14ac:dyDescent="0.25">
      <c r="B1367" s="12"/>
      <c r="C1367" s="12"/>
      <c r="D1367" s="15"/>
      <c r="E1367" s="19"/>
      <c r="F1367" s="19"/>
      <c r="G1367" s="12"/>
    </row>
    <row r="1368" spans="2:7" x14ac:dyDescent="0.25">
      <c r="B1368" s="12"/>
      <c r="C1368" s="12"/>
      <c r="D1368" s="15"/>
      <c r="E1368" s="19"/>
      <c r="F1368" s="19"/>
      <c r="G1368" s="12"/>
    </row>
    <row r="1369" spans="2:7" x14ac:dyDescent="0.25">
      <c r="B1369" s="12"/>
      <c r="C1369" s="12"/>
      <c r="D1369" s="15"/>
      <c r="E1369" s="19"/>
      <c r="F1369" s="19"/>
      <c r="G1369" s="12"/>
    </row>
    <row r="1370" spans="2:7" x14ac:dyDescent="0.25">
      <c r="B1370" s="12"/>
      <c r="C1370" s="12"/>
      <c r="D1370" s="15"/>
      <c r="E1370" s="19"/>
      <c r="F1370" s="19"/>
      <c r="G1370" s="12"/>
    </row>
    <row r="1371" spans="2:7" x14ac:dyDescent="0.25">
      <c r="B1371" s="12"/>
      <c r="C1371" s="12"/>
      <c r="D1371" s="15"/>
      <c r="E1371" s="19"/>
      <c r="F1371" s="19"/>
      <c r="G1371" s="12"/>
    </row>
    <row r="1372" spans="2:7" x14ac:dyDescent="0.25">
      <c r="B1372" s="12"/>
      <c r="C1372" s="12"/>
      <c r="D1372" s="15"/>
      <c r="E1372" s="19"/>
      <c r="F1372" s="19"/>
      <c r="G1372" s="12"/>
    </row>
    <row r="1373" spans="2:7" x14ac:dyDescent="0.25">
      <c r="B1373" s="12"/>
      <c r="C1373" s="12"/>
      <c r="D1373" s="15"/>
      <c r="E1373" s="19"/>
      <c r="F1373" s="19"/>
      <c r="G1373" s="12"/>
    </row>
    <row r="1374" spans="2:7" x14ac:dyDescent="0.25">
      <c r="B1374" s="12"/>
      <c r="C1374" s="12"/>
      <c r="D1374" s="15"/>
      <c r="E1374" s="19"/>
      <c r="F1374" s="19"/>
      <c r="G1374" s="12"/>
    </row>
    <row r="1375" spans="2:7" x14ac:dyDescent="0.25">
      <c r="B1375" s="12"/>
      <c r="C1375" s="12"/>
      <c r="D1375" s="15"/>
      <c r="E1375" s="19"/>
      <c r="F1375" s="19"/>
      <c r="G1375" s="12"/>
    </row>
    <row r="1376" spans="2:7" x14ac:dyDescent="0.25">
      <c r="B1376" s="12"/>
      <c r="C1376" s="12"/>
      <c r="D1376" s="15"/>
      <c r="E1376" s="19"/>
      <c r="F1376" s="19"/>
      <c r="G1376" s="12"/>
    </row>
    <row r="1377" spans="2:7" x14ac:dyDescent="0.25">
      <c r="B1377" s="12"/>
      <c r="C1377" s="12"/>
      <c r="D1377" s="15"/>
      <c r="E1377" s="19"/>
      <c r="F1377" s="19"/>
      <c r="G1377" s="12"/>
    </row>
    <row r="1378" spans="2:7" x14ac:dyDescent="0.25">
      <c r="B1378" s="12"/>
      <c r="C1378" s="12"/>
      <c r="D1378" s="15"/>
      <c r="E1378" s="19"/>
      <c r="F1378" s="19"/>
      <c r="G1378" s="12"/>
    </row>
    <row r="1379" spans="2:7" x14ac:dyDescent="0.25">
      <c r="B1379" s="12"/>
      <c r="C1379" s="12"/>
      <c r="D1379" s="15"/>
      <c r="E1379" s="19"/>
      <c r="F1379" s="19"/>
      <c r="G1379" s="12"/>
    </row>
    <row r="1380" spans="2:7" x14ac:dyDescent="0.25">
      <c r="B1380" s="12"/>
      <c r="C1380" s="12"/>
      <c r="D1380" s="15"/>
      <c r="E1380" s="19"/>
      <c r="F1380" s="19"/>
      <c r="G1380" s="12"/>
    </row>
    <row r="1381" spans="2:7" x14ac:dyDescent="0.25">
      <c r="B1381" s="12"/>
      <c r="C1381" s="12"/>
      <c r="D1381" s="15"/>
      <c r="E1381" s="19"/>
      <c r="F1381" s="19"/>
      <c r="G1381" s="12"/>
    </row>
    <row r="1382" spans="2:7" x14ac:dyDescent="0.25">
      <c r="B1382" s="12"/>
      <c r="C1382" s="12"/>
      <c r="D1382" s="15"/>
      <c r="E1382" s="19"/>
      <c r="F1382" s="19"/>
      <c r="G1382" s="12"/>
    </row>
    <row r="1383" spans="2:7" x14ac:dyDescent="0.25">
      <c r="B1383" s="12"/>
      <c r="C1383" s="12"/>
      <c r="D1383" s="15"/>
      <c r="E1383" s="19"/>
      <c r="F1383" s="19"/>
      <c r="G1383" s="12"/>
    </row>
    <row r="1384" spans="2:7" x14ac:dyDescent="0.25">
      <c r="B1384" s="12"/>
      <c r="C1384" s="12"/>
      <c r="D1384" s="15"/>
      <c r="E1384" s="19"/>
      <c r="F1384" s="19"/>
      <c r="G1384" s="12"/>
    </row>
    <row r="1385" spans="2:7" x14ac:dyDescent="0.25">
      <c r="B1385" s="12"/>
      <c r="C1385" s="12"/>
      <c r="D1385" s="15"/>
      <c r="E1385" s="19"/>
      <c r="F1385" s="19"/>
      <c r="G1385" s="12"/>
    </row>
    <row r="1386" spans="2:7" x14ac:dyDescent="0.25">
      <c r="B1386" s="12"/>
      <c r="C1386" s="12"/>
      <c r="D1386" s="15"/>
      <c r="E1386" s="19"/>
      <c r="F1386" s="19"/>
      <c r="G1386" s="12"/>
    </row>
    <row r="1387" spans="2:7" x14ac:dyDescent="0.25">
      <c r="B1387" s="12"/>
      <c r="C1387" s="12"/>
      <c r="D1387" s="15"/>
      <c r="E1387" s="19"/>
      <c r="F1387" s="19"/>
      <c r="G1387" s="12"/>
    </row>
    <row r="1388" spans="2:7" x14ac:dyDescent="0.25">
      <c r="B1388" s="12"/>
      <c r="C1388" s="12"/>
      <c r="D1388" s="15"/>
      <c r="E1388" s="19"/>
      <c r="F1388" s="19"/>
      <c r="G1388" s="12"/>
    </row>
    <row r="1389" spans="2:7" x14ac:dyDescent="0.25">
      <c r="B1389" s="12"/>
      <c r="C1389" s="12"/>
      <c r="D1389" s="15"/>
      <c r="E1389" s="19"/>
      <c r="F1389" s="19"/>
      <c r="G1389" s="12"/>
    </row>
    <row r="1390" spans="2:7" x14ac:dyDescent="0.25">
      <c r="B1390" s="12"/>
      <c r="C1390" s="12"/>
      <c r="D1390" s="15"/>
      <c r="E1390" s="19"/>
      <c r="F1390" s="19"/>
      <c r="G1390" s="12"/>
    </row>
    <row r="1391" spans="2:7" x14ac:dyDescent="0.25">
      <c r="B1391" s="12"/>
      <c r="C1391" s="12"/>
      <c r="D1391" s="15"/>
      <c r="E1391" s="19"/>
      <c r="F1391" s="19"/>
      <c r="G1391" s="12"/>
    </row>
    <row r="1392" spans="2:7" x14ac:dyDescent="0.25">
      <c r="B1392" s="12"/>
      <c r="C1392" s="12"/>
      <c r="D1392" s="15"/>
      <c r="E1392" s="19"/>
      <c r="F1392" s="19"/>
      <c r="G1392" s="12"/>
    </row>
    <row r="1393" spans="2:7" x14ac:dyDescent="0.25">
      <c r="B1393" s="12"/>
      <c r="C1393" s="12"/>
      <c r="D1393" s="15"/>
      <c r="E1393" s="19"/>
      <c r="F1393" s="19"/>
      <c r="G1393" s="12"/>
    </row>
    <row r="1394" spans="2:7" x14ac:dyDescent="0.25">
      <c r="B1394" s="12"/>
      <c r="C1394" s="12"/>
      <c r="D1394" s="15"/>
      <c r="E1394" s="19"/>
      <c r="F1394" s="19"/>
      <c r="G1394" s="12"/>
    </row>
    <row r="1395" spans="2:7" x14ac:dyDescent="0.25">
      <c r="B1395" s="12"/>
      <c r="C1395" s="12"/>
      <c r="D1395" s="15"/>
      <c r="E1395" s="19"/>
      <c r="F1395" s="19"/>
      <c r="G1395" s="12"/>
    </row>
    <row r="1396" spans="2:7" x14ac:dyDescent="0.25">
      <c r="B1396" s="12"/>
      <c r="C1396" s="12"/>
      <c r="D1396" s="15"/>
      <c r="E1396" s="19"/>
      <c r="F1396" s="19"/>
      <c r="G1396" s="12"/>
    </row>
    <row r="1397" spans="2:7" x14ac:dyDescent="0.25">
      <c r="B1397" s="12"/>
      <c r="C1397" s="12"/>
      <c r="D1397" s="15"/>
      <c r="E1397" s="19"/>
      <c r="F1397" s="19"/>
      <c r="G1397" s="12"/>
    </row>
    <row r="1398" spans="2:7" x14ac:dyDescent="0.25">
      <c r="B1398" s="12"/>
      <c r="C1398" s="12"/>
      <c r="D1398" s="15"/>
      <c r="E1398" s="19"/>
      <c r="F1398" s="19"/>
      <c r="G1398" s="12"/>
    </row>
    <row r="1399" spans="2:7" x14ac:dyDescent="0.25">
      <c r="B1399" s="12"/>
      <c r="C1399" s="12"/>
      <c r="D1399" s="15"/>
      <c r="E1399" s="19"/>
      <c r="F1399" s="19"/>
      <c r="G1399" s="12"/>
    </row>
    <row r="1400" spans="2:7" x14ac:dyDescent="0.25">
      <c r="B1400" s="12"/>
      <c r="C1400" s="12"/>
      <c r="D1400" s="15"/>
      <c r="E1400" s="19"/>
      <c r="F1400" s="19"/>
      <c r="G1400" s="12"/>
    </row>
    <row r="1401" spans="2:7" x14ac:dyDescent="0.25">
      <c r="B1401" s="12"/>
      <c r="C1401" s="12"/>
      <c r="D1401" s="15"/>
      <c r="E1401" s="19"/>
      <c r="F1401" s="19"/>
      <c r="G1401" s="12"/>
    </row>
    <row r="1402" spans="2:7" x14ac:dyDescent="0.25">
      <c r="B1402" s="12"/>
      <c r="C1402" s="12"/>
      <c r="D1402" s="15"/>
      <c r="E1402" s="19"/>
      <c r="F1402" s="19"/>
      <c r="G1402" s="12"/>
    </row>
    <row r="1403" spans="2:7" x14ac:dyDescent="0.25">
      <c r="B1403" s="12"/>
      <c r="C1403" s="12"/>
      <c r="D1403" s="15"/>
      <c r="E1403" s="19"/>
      <c r="F1403" s="19"/>
      <c r="G1403" s="12"/>
    </row>
    <row r="1404" spans="2:7" x14ac:dyDescent="0.25">
      <c r="B1404" s="12"/>
      <c r="C1404" s="12"/>
      <c r="D1404" s="15"/>
      <c r="E1404" s="19"/>
      <c r="F1404" s="19"/>
      <c r="G1404" s="12"/>
    </row>
    <row r="1405" spans="2:7" x14ac:dyDescent="0.25">
      <c r="B1405" s="12"/>
      <c r="C1405" s="12"/>
      <c r="D1405" s="15"/>
      <c r="E1405" s="19"/>
      <c r="F1405" s="19"/>
      <c r="G1405" s="12"/>
    </row>
    <row r="1406" spans="2:7" x14ac:dyDescent="0.25">
      <c r="B1406" s="12"/>
      <c r="C1406" s="12"/>
      <c r="D1406" s="15"/>
      <c r="E1406" s="19"/>
      <c r="F1406" s="19"/>
      <c r="G1406" s="12"/>
    </row>
    <row r="1407" spans="2:7" x14ac:dyDescent="0.25">
      <c r="B1407" s="12"/>
      <c r="C1407" s="12"/>
      <c r="D1407" s="15"/>
      <c r="E1407" s="19"/>
      <c r="F1407" s="19"/>
      <c r="G1407" s="12"/>
    </row>
    <row r="1408" spans="2:7" x14ac:dyDescent="0.25">
      <c r="B1408" s="12"/>
      <c r="C1408" s="12"/>
      <c r="D1408" s="15"/>
      <c r="E1408" s="19"/>
      <c r="F1408" s="19"/>
      <c r="G1408" s="12"/>
    </row>
    <row r="1409" spans="2:7" x14ac:dyDescent="0.25">
      <c r="B1409" s="12"/>
      <c r="C1409" s="12"/>
      <c r="D1409" s="15"/>
      <c r="E1409" s="19"/>
      <c r="F1409" s="19"/>
      <c r="G1409" s="12"/>
    </row>
    <row r="1410" spans="2:7" x14ac:dyDescent="0.25">
      <c r="B1410" s="12"/>
      <c r="C1410" s="12"/>
      <c r="D1410" s="15"/>
      <c r="E1410" s="19"/>
      <c r="F1410" s="19"/>
      <c r="G1410" s="12"/>
    </row>
    <row r="1411" spans="2:7" x14ac:dyDescent="0.25">
      <c r="B1411" s="12"/>
      <c r="C1411" s="12"/>
      <c r="D1411" s="15"/>
      <c r="E1411" s="19"/>
      <c r="F1411" s="19"/>
      <c r="G1411" s="12"/>
    </row>
    <row r="1412" spans="2:7" x14ac:dyDescent="0.25">
      <c r="B1412" s="12"/>
      <c r="C1412" s="12"/>
      <c r="D1412" s="15"/>
      <c r="E1412" s="19"/>
      <c r="F1412" s="19"/>
      <c r="G1412" s="12"/>
    </row>
    <row r="1413" spans="2:7" x14ac:dyDescent="0.25">
      <c r="B1413" s="12"/>
      <c r="C1413" s="12"/>
      <c r="D1413" s="15"/>
      <c r="E1413" s="19"/>
      <c r="F1413" s="19"/>
      <c r="G1413" s="12"/>
    </row>
    <row r="1414" spans="2:7" x14ac:dyDescent="0.25">
      <c r="B1414" s="12"/>
      <c r="C1414" s="12"/>
      <c r="D1414" s="15"/>
      <c r="E1414" s="19"/>
      <c r="F1414" s="19"/>
      <c r="G1414" s="12"/>
    </row>
    <row r="1415" spans="2:7" x14ac:dyDescent="0.25">
      <c r="B1415" s="12"/>
      <c r="C1415" s="12"/>
      <c r="D1415" s="15"/>
      <c r="E1415" s="19"/>
      <c r="F1415" s="19"/>
      <c r="G1415" s="12"/>
    </row>
    <row r="1416" spans="2:7" x14ac:dyDescent="0.25">
      <c r="B1416" s="12"/>
      <c r="C1416" s="12"/>
      <c r="D1416" s="15"/>
      <c r="E1416" s="19"/>
      <c r="F1416" s="19"/>
      <c r="G1416" s="12"/>
    </row>
    <row r="1417" spans="2:7" x14ac:dyDescent="0.25">
      <c r="B1417" s="12"/>
      <c r="C1417" s="12"/>
      <c r="D1417" s="15"/>
      <c r="E1417" s="19"/>
      <c r="F1417" s="19"/>
      <c r="G1417" s="12"/>
    </row>
    <row r="1418" spans="2:7" x14ac:dyDescent="0.25">
      <c r="B1418" s="12"/>
      <c r="C1418" s="12"/>
      <c r="D1418" s="15"/>
      <c r="E1418" s="19"/>
      <c r="F1418" s="19"/>
      <c r="G1418" s="12"/>
    </row>
    <row r="1419" spans="2:7" x14ac:dyDescent="0.25">
      <c r="B1419" s="12"/>
      <c r="C1419" s="12"/>
      <c r="D1419" s="15"/>
      <c r="E1419" s="19"/>
      <c r="F1419" s="19"/>
      <c r="G1419" s="12"/>
    </row>
    <row r="1420" spans="2:7" x14ac:dyDescent="0.25">
      <c r="B1420" s="12"/>
      <c r="C1420" s="12"/>
      <c r="D1420" s="15"/>
      <c r="E1420" s="19"/>
      <c r="F1420" s="19"/>
      <c r="G1420" s="12"/>
    </row>
    <row r="1421" spans="2:7" x14ac:dyDescent="0.25">
      <c r="B1421" s="12"/>
      <c r="C1421" s="12"/>
      <c r="D1421" s="15"/>
      <c r="E1421" s="19"/>
      <c r="F1421" s="19"/>
      <c r="G1421" s="12"/>
    </row>
    <row r="1422" spans="2:7" x14ac:dyDescent="0.25">
      <c r="B1422" s="12"/>
      <c r="C1422" s="12"/>
      <c r="D1422" s="15"/>
      <c r="E1422" s="19"/>
      <c r="F1422" s="19"/>
      <c r="G1422" s="12"/>
    </row>
    <row r="1423" spans="2:7" x14ac:dyDescent="0.25">
      <c r="B1423" s="12"/>
      <c r="C1423" s="12"/>
      <c r="D1423" s="15"/>
      <c r="E1423" s="19"/>
      <c r="F1423" s="19"/>
      <c r="G1423" s="12"/>
    </row>
    <row r="1424" spans="2:7" x14ac:dyDescent="0.25">
      <c r="B1424" s="12"/>
      <c r="C1424" s="12"/>
      <c r="D1424" s="15"/>
      <c r="E1424" s="19"/>
      <c r="F1424" s="19"/>
      <c r="G1424" s="12"/>
    </row>
    <row r="1425" spans="2:7" x14ac:dyDescent="0.25">
      <c r="B1425" s="12"/>
      <c r="C1425" s="12"/>
      <c r="D1425" s="15"/>
      <c r="E1425" s="19"/>
      <c r="F1425" s="19"/>
      <c r="G1425" s="12"/>
    </row>
    <row r="1426" spans="2:7" x14ac:dyDescent="0.25">
      <c r="B1426" s="12"/>
      <c r="C1426" s="12"/>
      <c r="D1426" s="15"/>
      <c r="E1426" s="19"/>
      <c r="F1426" s="19"/>
      <c r="G1426" s="12"/>
    </row>
    <row r="1427" spans="2:7" x14ac:dyDescent="0.25">
      <c r="B1427" s="12"/>
      <c r="C1427" s="12"/>
      <c r="D1427" s="15"/>
      <c r="E1427" s="19"/>
      <c r="F1427" s="19"/>
      <c r="G1427" s="12"/>
    </row>
    <row r="1428" spans="2:7" x14ac:dyDescent="0.25">
      <c r="B1428" s="12"/>
      <c r="C1428" s="12"/>
      <c r="D1428" s="15"/>
      <c r="E1428" s="19"/>
      <c r="F1428" s="19"/>
      <c r="G1428" s="12"/>
    </row>
    <row r="1429" spans="2:7" x14ac:dyDescent="0.25">
      <c r="B1429" s="12"/>
      <c r="C1429" s="12"/>
      <c r="D1429" s="15"/>
      <c r="E1429" s="19"/>
      <c r="F1429" s="19"/>
      <c r="G1429" s="12"/>
    </row>
    <row r="1430" spans="2:7" x14ac:dyDescent="0.25">
      <c r="B1430" s="12"/>
      <c r="C1430" s="12"/>
      <c r="D1430" s="15"/>
      <c r="E1430" s="19"/>
      <c r="F1430" s="19"/>
      <c r="G1430" s="12"/>
    </row>
    <row r="1431" spans="2:7" x14ac:dyDescent="0.25">
      <c r="B1431" s="12"/>
      <c r="C1431" s="12"/>
      <c r="D1431" s="15"/>
      <c r="E1431" s="19"/>
      <c r="F1431" s="19"/>
      <c r="G1431" s="12"/>
    </row>
    <row r="1432" spans="2:7" x14ac:dyDescent="0.25">
      <c r="B1432" s="12"/>
      <c r="C1432" s="12"/>
      <c r="D1432" s="15"/>
      <c r="E1432" s="19"/>
      <c r="F1432" s="19"/>
      <c r="G1432" s="12"/>
    </row>
    <row r="1433" spans="2:7" x14ac:dyDescent="0.25">
      <c r="B1433" s="12"/>
      <c r="C1433" s="12"/>
      <c r="D1433" s="15"/>
      <c r="E1433" s="19"/>
      <c r="F1433" s="19"/>
      <c r="G1433" s="12"/>
    </row>
    <row r="1434" spans="2:7" x14ac:dyDescent="0.25">
      <c r="B1434" s="12"/>
      <c r="C1434" s="12"/>
      <c r="D1434" s="15"/>
      <c r="E1434" s="19"/>
      <c r="F1434" s="19"/>
      <c r="G1434" s="12"/>
    </row>
    <row r="1435" spans="2:7" x14ac:dyDescent="0.25">
      <c r="B1435" s="12"/>
      <c r="C1435" s="12"/>
      <c r="D1435" s="15"/>
      <c r="E1435" s="19"/>
      <c r="F1435" s="19"/>
      <c r="G1435" s="12"/>
    </row>
    <row r="1436" spans="2:7" x14ac:dyDescent="0.25">
      <c r="B1436" s="12"/>
      <c r="C1436" s="12"/>
      <c r="D1436" s="15"/>
      <c r="E1436" s="19"/>
      <c r="F1436" s="19"/>
      <c r="G1436" s="12"/>
    </row>
    <row r="1437" spans="2:7" x14ac:dyDescent="0.25">
      <c r="B1437" s="12"/>
      <c r="C1437" s="12"/>
      <c r="D1437" s="15"/>
      <c r="E1437" s="19"/>
      <c r="F1437" s="19"/>
      <c r="G1437" s="12"/>
    </row>
    <row r="1438" spans="2:7" x14ac:dyDescent="0.25">
      <c r="B1438" s="12"/>
      <c r="C1438" s="12"/>
      <c r="D1438" s="15"/>
      <c r="E1438" s="19"/>
      <c r="F1438" s="19"/>
      <c r="G1438" s="12"/>
    </row>
    <row r="1439" spans="2:7" x14ac:dyDescent="0.25">
      <c r="B1439" s="12"/>
      <c r="C1439" s="12"/>
      <c r="D1439" s="15"/>
      <c r="E1439" s="19"/>
      <c r="F1439" s="19"/>
      <c r="G1439" s="12"/>
    </row>
    <row r="1440" spans="2:7" x14ac:dyDescent="0.25">
      <c r="B1440" s="12"/>
      <c r="C1440" s="12"/>
      <c r="D1440" s="15"/>
      <c r="E1440" s="19"/>
      <c r="F1440" s="19"/>
      <c r="G1440" s="12"/>
    </row>
    <row r="1441" spans="2:7" x14ac:dyDescent="0.25">
      <c r="B1441" s="12"/>
      <c r="C1441" s="12"/>
      <c r="D1441" s="15"/>
      <c r="E1441" s="19"/>
      <c r="F1441" s="19"/>
      <c r="G1441" s="12"/>
    </row>
    <row r="1442" spans="2:7" x14ac:dyDescent="0.25">
      <c r="B1442" s="12"/>
      <c r="C1442" s="12"/>
      <c r="D1442" s="15"/>
      <c r="E1442" s="19"/>
      <c r="F1442" s="19"/>
      <c r="G1442" s="12"/>
    </row>
    <row r="1443" spans="2:7" x14ac:dyDescent="0.25">
      <c r="B1443" s="12"/>
      <c r="C1443" s="12"/>
      <c r="D1443" s="15"/>
      <c r="E1443" s="19"/>
      <c r="F1443" s="19"/>
      <c r="G1443" s="12"/>
    </row>
    <row r="1444" spans="2:7" x14ac:dyDescent="0.25">
      <c r="B1444" s="12"/>
      <c r="C1444" s="12"/>
      <c r="D1444" s="15"/>
      <c r="E1444" s="19"/>
      <c r="F1444" s="19"/>
      <c r="G1444" s="12"/>
    </row>
    <row r="1445" spans="2:7" x14ac:dyDescent="0.25">
      <c r="B1445" s="12"/>
      <c r="C1445" s="12"/>
      <c r="D1445" s="15"/>
      <c r="E1445" s="19"/>
      <c r="F1445" s="19"/>
      <c r="G1445" s="12"/>
    </row>
    <row r="1446" spans="2:7" x14ac:dyDescent="0.25">
      <c r="B1446" s="12"/>
      <c r="C1446" s="12"/>
      <c r="D1446" s="15"/>
      <c r="E1446" s="19"/>
      <c r="F1446" s="19"/>
      <c r="G1446" s="12"/>
    </row>
    <row r="1447" spans="2:7" x14ac:dyDescent="0.25">
      <c r="B1447" s="12"/>
      <c r="C1447" s="12"/>
      <c r="D1447" s="15"/>
      <c r="E1447" s="19"/>
      <c r="F1447" s="19"/>
      <c r="G1447" s="12"/>
    </row>
    <row r="1448" spans="2:7" x14ac:dyDescent="0.25">
      <c r="B1448" s="12"/>
      <c r="C1448" s="12"/>
      <c r="D1448" s="15"/>
      <c r="E1448" s="19"/>
      <c r="F1448" s="19"/>
      <c r="G1448" s="12"/>
    </row>
    <row r="1449" spans="2:7" x14ac:dyDescent="0.25">
      <c r="B1449" s="12"/>
      <c r="C1449" s="12"/>
      <c r="D1449" s="15"/>
      <c r="E1449" s="19"/>
      <c r="F1449" s="19"/>
      <c r="G1449" s="12"/>
    </row>
    <row r="1450" spans="2:7" x14ac:dyDescent="0.25">
      <c r="B1450" s="12"/>
      <c r="C1450" s="12"/>
      <c r="D1450" s="15"/>
      <c r="E1450" s="19"/>
      <c r="F1450" s="19"/>
      <c r="G1450" s="12"/>
    </row>
    <row r="1451" spans="2:7" x14ac:dyDescent="0.25">
      <c r="B1451" s="12"/>
      <c r="C1451" s="12"/>
      <c r="D1451" s="15"/>
      <c r="E1451" s="19"/>
      <c r="F1451" s="19"/>
      <c r="G1451" s="12"/>
    </row>
    <row r="1452" spans="2:7" x14ac:dyDescent="0.25">
      <c r="B1452" s="12"/>
      <c r="C1452" s="12"/>
      <c r="D1452" s="15"/>
      <c r="E1452" s="19"/>
      <c r="F1452" s="19"/>
      <c r="G1452" s="12"/>
    </row>
    <row r="1453" spans="2:7" x14ac:dyDescent="0.25">
      <c r="B1453" s="12"/>
      <c r="C1453" s="12"/>
      <c r="D1453" s="15"/>
      <c r="E1453" s="19"/>
      <c r="F1453" s="19"/>
      <c r="G1453" s="12"/>
    </row>
    <row r="1454" spans="2:7" x14ac:dyDescent="0.25">
      <c r="B1454" s="12"/>
      <c r="C1454" s="12"/>
      <c r="D1454" s="15"/>
      <c r="E1454" s="19"/>
      <c r="F1454" s="19"/>
      <c r="G1454" s="12"/>
    </row>
    <row r="1455" spans="2:7" x14ac:dyDescent="0.25">
      <c r="B1455" s="12"/>
      <c r="C1455" s="12"/>
      <c r="D1455" s="15"/>
      <c r="E1455" s="19"/>
      <c r="F1455" s="19"/>
      <c r="G1455" s="12"/>
    </row>
    <row r="1456" spans="2:7" x14ac:dyDescent="0.25">
      <c r="B1456" s="12"/>
      <c r="C1456" s="12"/>
      <c r="D1456" s="15"/>
      <c r="E1456" s="19"/>
      <c r="F1456" s="19"/>
      <c r="G1456" s="12"/>
    </row>
    <row r="1457" spans="2:7" x14ac:dyDescent="0.25">
      <c r="B1457" s="12"/>
      <c r="C1457" s="12"/>
      <c r="D1457" s="15"/>
      <c r="E1457" s="19"/>
      <c r="F1457" s="19"/>
      <c r="G1457" s="12"/>
    </row>
    <row r="1458" spans="2:7" x14ac:dyDescent="0.25">
      <c r="B1458" s="12"/>
      <c r="C1458" s="12"/>
      <c r="D1458" s="15"/>
      <c r="E1458" s="19"/>
      <c r="F1458" s="19"/>
      <c r="G1458" s="12"/>
    </row>
    <row r="1459" spans="2:7" x14ac:dyDescent="0.25">
      <c r="B1459" s="12"/>
      <c r="C1459" s="12"/>
      <c r="D1459" s="15"/>
      <c r="E1459" s="19"/>
      <c r="F1459" s="19"/>
      <c r="G1459" s="12"/>
    </row>
    <row r="1460" spans="2:7" x14ac:dyDescent="0.25">
      <c r="B1460" s="12"/>
      <c r="C1460" s="12"/>
      <c r="D1460" s="15"/>
      <c r="E1460" s="19"/>
      <c r="F1460" s="19"/>
      <c r="G1460" s="12"/>
    </row>
    <row r="1461" spans="2:7" x14ac:dyDescent="0.25">
      <c r="B1461" s="12"/>
      <c r="C1461" s="12"/>
      <c r="D1461" s="15"/>
      <c r="E1461" s="19"/>
      <c r="F1461" s="19"/>
      <c r="G1461" s="12"/>
    </row>
    <row r="1462" spans="2:7" x14ac:dyDescent="0.25">
      <c r="B1462" s="12"/>
      <c r="C1462" s="12"/>
      <c r="D1462" s="15"/>
      <c r="E1462" s="19"/>
      <c r="F1462" s="19"/>
      <c r="G1462" s="12"/>
    </row>
    <row r="1463" spans="2:7" x14ac:dyDescent="0.25">
      <c r="B1463" s="12"/>
      <c r="C1463" s="12"/>
      <c r="D1463" s="15"/>
      <c r="E1463" s="19"/>
      <c r="F1463" s="19"/>
      <c r="G1463" s="12"/>
    </row>
    <row r="1464" spans="2:7" x14ac:dyDescent="0.25">
      <c r="B1464" s="12"/>
      <c r="C1464" s="12"/>
      <c r="D1464" s="15"/>
      <c r="E1464" s="19"/>
      <c r="F1464" s="19"/>
      <c r="G1464" s="12"/>
    </row>
    <row r="1465" spans="2:7" x14ac:dyDescent="0.25">
      <c r="B1465" s="12"/>
      <c r="C1465" s="12"/>
      <c r="D1465" s="15"/>
      <c r="E1465" s="19"/>
      <c r="F1465" s="19"/>
      <c r="G1465" s="12"/>
    </row>
    <row r="1466" spans="2:7" x14ac:dyDescent="0.25">
      <c r="B1466" s="12"/>
      <c r="C1466" s="12"/>
      <c r="D1466" s="15"/>
      <c r="E1466" s="19"/>
      <c r="F1466" s="19"/>
      <c r="G1466" s="12"/>
    </row>
    <row r="1467" spans="2:7" x14ac:dyDescent="0.25">
      <c r="B1467" s="12"/>
      <c r="C1467" s="12"/>
      <c r="D1467" s="15"/>
      <c r="E1467" s="19"/>
      <c r="F1467" s="19"/>
      <c r="G1467" s="12"/>
    </row>
    <row r="1468" spans="2:7" x14ac:dyDescent="0.25">
      <c r="B1468" s="12"/>
      <c r="C1468" s="12"/>
      <c r="D1468" s="15"/>
      <c r="E1468" s="19"/>
      <c r="F1468" s="19"/>
      <c r="G1468" s="12"/>
    </row>
    <row r="1469" spans="2:7" x14ac:dyDescent="0.25">
      <c r="B1469" s="12"/>
      <c r="C1469" s="12"/>
      <c r="D1469" s="15"/>
      <c r="E1469" s="19"/>
      <c r="F1469" s="19"/>
      <c r="G1469" s="12"/>
    </row>
    <row r="1470" spans="2:7" x14ac:dyDescent="0.25">
      <c r="B1470" s="12"/>
      <c r="C1470" s="12"/>
      <c r="D1470" s="15"/>
      <c r="E1470" s="19"/>
      <c r="F1470" s="19"/>
      <c r="G1470" s="12"/>
    </row>
    <row r="1471" spans="2:7" x14ac:dyDescent="0.25">
      <c r="B1471" s="12"/>
      <c r="C1471" s="12"/>
      <c r="D1471" s="15"/>
      <c r="E1471" s="19"/>
      <c r="F1471" s="19"/>
      <c r="G1471" s="12"/>
    </row>
    <row r="1472" spans="2:7" x14ac:dyDescent="0.25">
      <c r="B1472" s="12"/>
      <c r="C1472" s="12"/>
      <c r="D1472" s="15"/>
      <c r="E1472" s="19"/>
      <c r="F1472" s="19"/>
      <c r="G1472" s="12"/>
    </row>
    <row r="1473" spans="2:7" x14ac:dyDescent="0.25">
      <c r="B1473" s="12"/>
      <c r="C1473" s="12"/>
      <c r="D1473" s="15"/>
      <c r="E1473" s="19"/>
      <c r="F1473" s="19"/>
      <c r="G1473" s="12"/>
    </row>
    <row r="1474" spans="2:7" x14ac:dyDescent="0.25">
      <c r="B1474" s="12"/>
      <c r="C1474" s="12"/>
      <c r="D1474" s="15"/>
      <c r="E1474" s="19"/>
      <c r="F1474" s="19"/>
      <c r="G1474" s="12"/>
    </row>
    <row r="1475" spans="2:7" x14ac:dyDescent="0.25">
      <c r="B1475" s="12"/>
      <c r="C1475" s="12"/>
      <c r="D1475" s="15"/>
      <c r="E1475" s="19"/>
      <c r="F1475" s="19"/>
      <c r="G1475" s="12"/>
    </row>
    <row r="1476" spans="2:7" x14ac:dyDescent="0.25">
      <c r="B1476" s="12"/>
      <c r="C1476" s="12"/>
      <c r="D1476" s="15"/>
      <c r="E1476" s="19"/>
      <c r="F1476" s="19"/>
      <c r="G1476" s="12"/>
    </row>
    <row r="1477" spans="2:7" x14ac:dyDescent="0.25">
      <c r="B1477" s="12"/>
      <c r="C1477" s="12"/>
      <c r="D1477" s="15"/>
      <c r="E1477" s="19"/>
      <c r="F1477" s="19"/>
      <c r="G1477" s="12"/>
    </row>
    <row r="1478" spans="2:7" x14ac:dyDescent="0.25">
      <c r="B1478" s="12"/>
      <c r="C1478" s="12"/>
      <c r="D1478" s="15"/>
      <c r="E1478" s="19"/>
      <c r="F1478" s="19"/>
      <c r="G1478" s="12"/>
    </row>
    <row r="1479" spans="2:7" x14ac:dyDescent="0.25">
      <c r="B1479" s="12"/>
      <c r="C1479" s="12"/>
      <c r="D1479" s="15"/>
      <c r="E1479" s="19"/>
      <c r="F1479" s="19"/>
      <c r="G1479" s="12"/>
    </row>
    <row r="1480" spans="2:7" x14ac:dyDescent="0.25">
      <c r="B1480" s="12"/>
      <c r="C1480" s="12"/>
      <c r="D1480" s="15"/>
      <c r="E1480" s="19"/>
      <c r="F1480" s="19"/>
      <c r="G1480" s="12"/>
    </row>
    <row r="1481" spans="2:7" x14ac:dyDescent="0.25">
      <c r="B1481" s="12"/>
      <c r="C1481" s="12"/>
      <c r="D1481" s="15"/>
      <c r="E1481" s="19"/>
      <c r="F1481" s="19"/>
      <c r="G1481" s="12"/>
    </row>
    <row r="1482" spans="2:7" x14ac:dyDescent="0.25">
      <c r="B1482" s="12"/>
      <c r="C1482" s="12"/>
      <c r="D1482" s="15"/>
      <c r="E1482" s="19"/>
      <c r="F1482" s="19"/>
      <c r="G1482" s="12"/>
    </row>
    <row r="1483" spans="2:7" x14ac:dyDescent="0.25">
      <c r="B1483" s="12"/>
      <c r="C1483" s="12"/>
      <c r="D1483" s="15"/>
      <c r="E1483" s="19"/>
      <c r="F1483" s="19"/>
      <c r="G1483" s="12"/>
    </row>
    <row r="1484" spans="2:7" x14ac:dyDescent="0.25">
      <c r="B1484" s="12"/>
      <c r="C1484" s="12"/>
      <c r="D1484" s="15"/>
      <c r="E1484" s="19"/>
      <c r="F1484" s="19"/>
      <c r="G1484" s="12"/>
    </row>
    <row r="1485" spans="2:7" x14ac:dyDescent="0.25">
      <c r="B1485" s="12"/>
      <c r="C1485" s="12"/>
      <c r="D1485" s="15"/>
      <c r="E1485" s="19"/>
      <c r="F1485" s="19"/>
      <c r="G1485" s="12"/>
    </row>
    <row r="1486" spans="2:7" x14ac:dyDescent="0.25">
      <c r="B1486" s="12"/>
      <c r="C1486" s="12"/>
      <c r="D1486" s="15"/>
      <c r="E1486" s="19"/>
      <c r="F1486" s="19"/>
      <c r="G1486" s="12"/>
    </row>
    <row r="1487" spans="2:7" x14ac:dyDescent="0.25">
      <c r="B1487" s="12"/>
      <c r="C1487" s="12"/>
      <c r="D1487" s="15"/>
      <c r="E1487" s="19"/>
      <c r="F1487" s="19"/>
      <c r="G1487" s="12"/>
    </row>
    <row r="1488" spans="2:7" x14ac:dyDescent="0.25">
      <c r="B1488" s="12"/>
      <c r="C1488" s="12"/>
      <c r="D1488" s="15"/>
      <c r="E1488" s="19"/>
      <c r="F1488" s="19"/>
      <c r="G1488" s="12"/>
    </row>
    <row r="1489" spans="2:7" x14ac:dyDescent="0.25">
      <c r="B1489" s="12"/>
      <c r="C1489" s="12"/>
      <c r="D1489" s="15"/>
      <c r="E1489" s="19"/>
      <c r="F1489" s="19"/>
      <c r="G1489" s="12"/>
    </row>
    <row r="1490" spans="2:7" x14ac:dyDescent="0.25">
      <c r="B1490" s="12"/>
      <c r="C1490" s="12"/>
      <c r="D1490" s="15"/>
      <c r="E1490" s="19"/>
      <c r="F1490" s="19"/>
      <c r="G1490" s="12"/>
    </row>
    <row r="1491" spans="2:7" x14ac:dyDescent="0.25">
      <c r="B1491" s="12"/>
      <c r="C1491" s="12"/>
      <c r="D1491" s="15"/>
      <c r="E1491" s="19"/>
      <c r="F1491" s="19"/>
      <c r="G1491" s="12"/>
    </row>
    <row r="1492" spans="2:7" x14ac:dyDescent="0.25">
      <c r="B1492" s="12"/>
      <c r="C1492" s="12"/>
      <c r="D1492" s="15"/>
      <c r="E1492" s="19"/>
      <c r="F1492" s="19"/>
      <c r="G1492" s="12"/>
    </row>
    <row r="1493" spans="2:7" x14ac:dyDescent="0.25">
      <c r="B1493" s="12"/>
      <c r="C1493" s="12"/>
      <c r="D1493" s="15"/>
      <c r="E1493" s="19"/>
      <c r="F1493" s="19"/>
      <c r="G1493" s="12"/>
    </row>
    <row r="1494" spans="2:7" x14ac:dyDescent="0.25">
      <c r="B1494" s="12"/>
      <c r="C1494" s="12"/>
      <c r="D1494" s="15"/>
      <c r="E1494" s="19"/>
      <c r="F1494" s="19"/>
      <c r="G1494" s="12"/>
    </row>
    <row r="1495" spans="2:7" x14ac:dyDescent="0.25">
      <c r="B1495" s="12"/>
      <c r="C1495" s="12"/>
      <c r="D1495" s="15"/>
      <c r="E1495" s="19"/>
      <c r="F1495" s="19"/>
      <c r="G1495" s="12"/>
    </row>
    <row r="1496" spans="2:7" x14ac:dyDescent="0.25">
      <c r="B1496" s="12"/>
      <c r="C1496" s="12"/>
      <c r="D1496" s="15"/>
      <c r="E1496" s="19"/>
      <c r="F1496" s="19"/>
      <c r="G1496" s="12"/>
    </row>
    <row r="1497" spans="2:7" x14ac:dyDescent="0.25">
      <c r="B1497" s="12"/>
      <c r="C1497" s="12"/>
      <c r="D1497" s="15"/>
      <c r="E1497" s="19"/>
      <c r="F1497" s="19"/>
      <c r="G1497" s="12"/>
    </row>
    <row r="1498" spans="2:7" x14ac:dyDescent="0.25">
      <c r="B1498" s="12"/>
      <c r="C1498" s="12"/>
      <c r="D1498" s="15"/>
      <c r="E1498" s="19"/>
      <c r="F1498" s="19"/>
      <c r="G1498" s="12"/>
    </row>
    <row r="1499" spans="2:7" x14ac:dyDescent="0.25">
      <c r="B1499" s="12"/>
      <c r="C1499" s="12"/>
      <c r="D1499" s="15"/>
      <c r="E1499" s="19"/>
      <c r="F1499" s="19"/>
      <c r="G1499" s="12"/>
    </row>
    <row r="1500" spans="2:7" x14ac:dyDescent="0.25">
      <c r="B1500" s="12"/>
      <c r="C1500" s="12"/>
      <c r="D1500" s="15"/>
      <c r="E1500" s="19"/>
      <c r="F1500" s="19"/>
      <c r="G1500" s="12"/>
    </row>
    <row r="1501" spans="2:7" x14ac:dyDescent="0.25">
      <c r="B1501" s="12"/>
      <c r="C1501" s="12"/>
      <c r="D1501" s="15"/>
      <c r="E1501" s="19"/>
      <c r="F1501" s="19"/>
      <c r="G1501" s="12"/>
    </row>
    <row r="1502" spans="2:7" x14ac:dyDescent="0.25">
      <c r="B1502" s="12"/>
      <c r="C1502" s="12"/>
      <c r="D1502" s="15"/>
      <c r="E1502" s="19"/>
      <c r="F1502" s="19"/>
      <c r="G1502" s="12"/>
    </row>
    <row r="1503" spans="2:7" x14ac:dyDescent="0.25">
      <c r="B1503" s="12"/>
      <c r="C1503" s="12"/>
      <c r="D1503" s="15"/>
      <c r="E1503" s="19"/>
      <c r="F1503" s="19"/>
      <c r="G1503" s="12"/>
    </row>
    <row r="1504" spans="2:7" x14ac:dyDescent="0.25">
      <c r="B1504" s="12"/>
      <c r="C1504" s="12"/>
      <c r="D1504" s="15"/>
      <c r="E1504" s="19"/>
      <c r="F1504" s="19"/>
      <c r="G1504" s="12"/>
    </row>
    <row r="1505" spans="2:7" x14ac:dyDescent="0.25">
      <c r="B1505" s="12"/>
      <c r="C1505" s="12"/>
      <c r="D1505" s="15"/>
      <c r="E1505" s="19"/>
      <c r="F1505" s="19"/>
      <c r="G1505" s="12"/>
    </row>
    <row r="1506" spans="2:7" x14ac:dyDescent="0.25">
      <c r="B1506" s="12"/>
      <c r="C1506" s="12"/>
      <c r="D1506" s="15"/>
      <c r="E1506" s="19"/>
      <c r="F1506" s="19"/>
      <c r="G1506" s="12"/>
    </row>
    <row r="1507" spans="2:7" x14ac:dyDescent="0.25">
      <c r="B1507" s="12"/>
      <c r="C1507" s="12"/>
      <c r="D1507" s="15"/>
      <c r="E1507" s="19"/>
      <c r="F1507" s="19"/>
      <c r="G1507" s="12"/>
    </row>
    <row r="1508" spans="2:7" x14ac:dyDescent="0.25">
      <c r="B1508" s="12"/>
      <c r="C1508" s="12"/>
      <c r="D1508" s="15"/>
      <c r="E1508" s="19"/>
      <c r="F1508" s="19"/>
      <c r="G1508" s="12"/>
    </row>
    <row r="1509" spans="2:7" x14ac:dyDescent="0.25">
      <c r="B1509" s="12"/>
      <c r="C1509" s="12"/>
      <c r="D1509" s="15"/>
      <c r="E1509" s="19"/>
      <c r="F1509" s="19"/>
      <c r="G1509" s="12"/>
    </row>
    <row r="1510" spans="2:7" x14ac:dyDescent="0.25">
      <c r="B1510" s="12"/>
      <c r="C1510" s="12"/>
      <c r="D1510" s="15"/>
      <c r="E1510" s="19"/>
      <c r="F1510" s="19"/>
      <c r="G1510" s="12"/>
    </row>
    <row r="1511" spans="2:7" x14ac:dyDescent="0.25">
      <c r="B1511" s="12"/>
      <c r="C1511" s="12"/>
      <c r="D1511" s="15"/>
      <c r="E1511" s="19"/>
      <c r="F1511" s="19"/>
      <c r="G1511" s="12"/>
    </row>
    <row r="1512" spans="2:7" x14ac:dyDescent="0.25">
      <c r="B1512" s="12"/>
      <c r="C1512" s="12"/>
      <c r="D1512" s="15"/>
      <c r="E1512" s="19"/>
      <c r="F1512" s="19"/>
      <c r="G1512" s="12"/>
    </row>
    <row r="1513" spans="2:7" x14ac:dyDescent="0.25">
      <c r="B1513" s="12"/>
      <c r="C1513" s="12"/>
      <c r="D1513" s="15"/>
      <c r="E1513" s="19"/>
      <c r="F1513" s="19"/>
      <c r="G1513" s="12"/>
    </row>
    <row r="1514" spans="2:7" x14ac:dyDescent="0.25">
      <c r="B1514" s="12"/>
      <c r="C1514" s="12"/>
      <c r="D1514" s="15"/>
      <c r="E1514" s="19"/>
      <c r="F1514" s="19"/>
      <c r="G1514" s="12"/>
    </row>
    <row r="1515" spans="2:7" x14ac:dyDescent="0.25">
      <c r="B1515" s="12"/>
      <c r="C1515" s="12"/>
      <c r="D1515" s="15"/>
      <c r="E1515" s="19"/>
      <c r="F1515" s="19"/>
      <c r="G1515" s="12"/>
    </row>
    <row r="1516" spans="2:7" x14ac:dyDescent="0.25">
      <c r="B1516" s="12"/>
      <c r="C1516" s="12"/>
      <c r="D1516" s="15"/>
      <c r="E1516" s="19"/>
      <c r="F1516" s="19"/>
      <c r="G1516" s="12"/>
    </row>
    <row r="1517" spans="2:7" x14ac:dyDescent="0.25">
      <c r="B1517" s="12"/>
      <c r="C1517" s="12"/>
      <c r="D1517" s="15"/>
      <c r="E1517" s="19"/>
      <c r="F1517" s="19"/>
      <c r="G1517" s="12"/>
    </row>
    <row r="1518" spans="2:7" x14ac:dyDescent="0.25">
      <c r="B1518" s="12"/>
      <c r="C1518" s="12"/>
      <c r="D1518" s="15"/>
      <c r="E1518" s="19"/>
      <c r="F1518" s="19"/>
      <c r="G1518" s="12"/>
    </row>
    <row r="1519" spans="2:7" x14ac:dyDescent="0.25">
      <c r="B1519" s="12"/>
      <c r="C1519" s="12"/>
      <c r="D1519" s="15"/>
      <c r="E1519" s="19"/>
      <c r="F1519" s="19"/>
      <c r="G1519" s="12"/>
    </row>
    <row r="1520" spans="2:7" x14ac:dyDescent="0.25">
      <c r="B1520" s="12"/>
      <c r="C1520" s="12"/>
      <c r="D1520" s="15"/>
      <c r="E1520" s="19"/>
      <c r="F1520" s="19"/>
      <c r="G1520" s="12"/>
    </row>
    <row r="1521" spans="2:7" x14ac:dyDescent="0.25">
      <c r="B1521" s="12"/>
      <c r="C1521" s="12"/>
      <c r="D1521" s="15"/>
      <c r="E1521" s="19"/>
      <c r="F1521" s="19"/>
      <c r="G1521" s="12"/>
    </row>
    <row r="1522" spans="2:7" x14ac:dyDescent="0.25">
      <c r="B1522" s="12"/>
      <c r="C1522" s="12"/>
      <c r="D1522" s="15"/>
      <c r="E1522" s="19"/>
      <c r="F1522" s="19"/>
      <c r="G1522" s="12"/>
    </row>
    <row r="1523" spans="2:7" x14ac:dyDescent="0.25">
      <c r="B1523" s="12"/>
      <c r="C1523" s="12"/>
      <c r="D1523" s="15"/>
      <c r="E1523" s="19"/>
      <c r="F1523" s="19"/>
      <c r="G1523" s="12"/>
    </row>
    <row r="1524" spans="2:7" x14ac:dyDescent="0.25">
      <c r="B1524" s="12"/>
      <c r="C1524" s="12"/>
      <c r="D1524" s="15"/>
      <c r="E1524" s="19"/>
      <c r="F1524" s="19"/>
      <c r="G1524" s="12"/>
    </row>
    <row r="1525" spans="2:7" x14ac:dyDescent="0.25">
      <c r="B1525" s="12"/>
      <c r="C1525" s="12"/>
      <c r="D1525" s="15"/>
      <c r="E1525" s="19"/>
      <c r="F1525" s="19"/>
      <c r="G1525" s="12"/>
    </row>
    <row r="1526" spans="2:7" x14ac:dyDescent="0.25">
      <c r="B1526" s="12"/>
      <c r="C1526" s="12"/>
      <c r="D1526" s="15"/>
      <c r="E1526" s="19"/>
      <c r="F1526" s="19"/>
      <c r="G1526" s="12"/>
    </row>
    <row r="1527" spans="2:7" x14ac:dyDescent="0.25">
      <c r="B1527" s="12"/>
      <c r="C1527" s="12"/>
      <c r="D1527" s="15"/>
      <c r="E1527" s="19"/>
      <c r="F1527" s="19"/>
      <c r="G1527" s="12"/>
    </row>
    <row r="1528" spans="2:7" x14ac:dyDescent="0.25">
      <c r="B1528" s="12"/>
      <c r="C1528" s="12"/>
      <c r="D1528" s="15"/>
      <c r="E1528" s="19"/>
      <c r="F1528" s="19"/>
      <c r="G1528" s="12"/>
    </row>
    <row r="1529" spans="2:7" x14ac:dyDescent="0.25">
      <c r="B1529" s="12"/>
      <c r="C1529" s="12"/>
      <c r="D1529" s="15"/>
      <c r="E1529" s="19"/>
      <c r="F1529" s="19"/>
      <c r="G1529" s="12"/>
    </row>
    <row r="1530" spans="2:7" x14ac:dyDescent="0.25">
      <c r="B1530" s="12"/>
      <c r="C1530" s="12"/>
      <c r="D1530" s="15"/>
      <c r="E1530" s="19"/>
      <c r="F1530" s="19"/>
      <c r="G1530" s="12"/>
    </row>
    <row r="1531" spans="2:7" x14ac:dyDescent="0.25">
      <c r="B1531" s="12"/>
      <c r="C1531" s="12"/>
      <c r="D1531" s="15"/>
      <c r="E1531" s="19"/>
      <c r="F1531" s="19"/>
      <c r="G1531" s="12"/>
    </row>
    <row r="1532" spans="2:7" x14ac:dyDescent="0.25">
      <c r="B1532" s="12"/>
      <c r="C1532" s="12"/>
      <c r="D1532" s="15"/>
      <c r="E1532" s="19"/>
      <c r="F1532" s="19"/>
      <c r="G1532" s="12"/>
    </row>
    <row r="1533" spans="2:7" x14ac:dyDescent="0.25">
      <c r="B1533" s="12"/>
      <c r="C1533" s="12"/>
      <c r="D1533" s="15"/>
      <c r="E1533" s="19"/>
      <c r="F1533" s="19"/>
      <c r="G1533" s="12"/>
    </row>
    <row r="1534" spans="2:7" x14ac:dyDescent="0.25">
      <c r="B1534" s="12"/>
      <c r="C1534" s="12"/>
      <c r="D1534" s="15"/>
      <c r="E1534" s="19"/>
      <c r="F1534" s="19"/>
      <c r="G1534" s="12"/>
    </row>
    <row r="1535" spans="2:7" x14ac:dyDescent="0.25">
      <c r="B1535" s="12"/>
      <c r="C1535" s="12"/>
      <c r="D1535" s="15"/>
      <c r="E1535" s="19"/>
      <c r="F1535" s="19"/>
      <c r="G1535" s="12"/>
    </row>
    <row r="1536" spans="2:7" x14ac:dyDescent="0.25">
      <c r="B1536" s="12"/>
      <c r="C1536" s="12"/>
      <c r="D1536" s="15"/>
      <c r="E1536" s="19"/>
      <c r="F1536" s="19"/>
      <c r="G1536" s="12"/>
    </row>
    <row r="1537" spans="2:7" x14ac:dyDescent="0.25">
      <c r="B1537" s="12"/>
      <c r="C1537" s="12"/>
      <c r="D1537" s="15"/>
      <c r="E1537" s="19"/>
      <c r="F1537" s="19"/>
      <c r="G1537" s="12"/>
    </row>
    <row r="1538" spans="2:7" x14ac:dyDescent="0.25">
      <c r="B1538" s="12"/>
      <c r="C1538" s="12"/>
      <c r="D1538" s="15"/>
      <c r="E1538" s="19"/>
      <c r="F1538" s="19"/>
      <c r="G1538" s="12"/>
    </row>
    <row r="1539" spans="2:7" x14ac:dyDescent="0.25">
      <c r="B1539" s="12"/>
      <c r="C1539" s="12"/>
      <c r="D1539" s="15"/>
      <c r="E1539" s="19"/>
      <c r="F1539" s="19"/>
      <c r="G1539" s="12"/>
    </row>
    <row r="1540" spans="2:7" x14ac:dyDescent="0.25">
      <c r="B1540" s="12"/>
      <c r="C1540" s="12"/>
      <c r="D1540" s="15"/>
      <c r="E1540" s="19"/>
      <c r="F1540" s="19"/>
      <c r="G1540" s="12"/>
    </row>
    <row r="1541" spans="2:7" x14ac:dyDescent="0.25">
      <c r="B1541" s="12"/>
      <c r="C1541" s="12"/>
      <c r="D1541" s="15"/>
      <c r="E1541" s="19"/>
      <c r="F1541" s="19"/>
      <c r="G1541" s="12"/>
    </row>
    <row r="1542" spans="2:7" x14ac:dyDescent="0.25">
      <c r="B1542" s="12"/>
      <c r="C1542" s="12"/>
      <c r="D1542" s="15"/>
      <c r="E1542" s="19"/>
      <c r="F1542" s="19"/>
      <c r="G1542" s="12"/>
    </row>
    <row r="1543" spans="2:7" x14ac:dyDescent="0.25">
      <c r="B1543" s="12"/>
      <c r="C1543" s="12"/>
      <c r="D1543" s="15"/>
      <c r="E1543" s="19"/>
      <c r="F1543" s="19"/>
      <c r="G1543" s="12"/>
    </row>
    <row r="1544" spans="2:7" x14ac:dyDescent="0.25">
      <c r="B1544" s="12"/>
      <c r="C1544" s="12"/>
      <c r="D1544" s="15"/>
      <c r="E1544" s="19"/>
      <c r="F1544" s="19"/>
      <c r="G1544" s="12"/>
    </row>
    <row r="1545" spans="2:7" x14ac:dyDescent="0.25">
      <c r="B1545" s="12"/>
      <c r="C1545" s="12"/>
      <c r="D1545" s="15"/>
      <c r="E1545" s="19"/>
      <c r="F1545" s="19"/>
      <c r="G1545" s="12"/>
    </row>
    <row r="1546" spans="2:7" x14ac:dyDescent="0.25">
      <c r="B1546" s="12"/>
      <c r="C1546" s="12"/>
      <c r="D1546" s="15"/>
      <c r="E1546" s="19"/>
      <c r="F1546" s="19"/>
      <c r="G1546" s="12"/>
    </row>
    <row r="1547" spans="2:7" x14ac:dyDescent="0.25">
      <c r="B1547" s="12"/>
      <c r="C1547" s="12"/>
      <c r="D1547" s="15"/>
      <c r="E1547" s="19"/>
      <c r="F1547" s="19"/>
      <c r="G1547" s="12"/>
    </row>
    <row r="1548" spans="2:7" x14ac:dyDescent="0.25">
      <c r="B1548" s="12"/>
      <c r="C1548" s="12"/>
      <c r="D1548" s="15"/>
      <c r="E1548" s="19"/>
      <c r="F1548" s="19"/>
      <c r="G1548" s="12"/>
    </row>
    <row r="1549" spans="2:7" x14ac:dyDescent="0.25">
      <c r="B1549" s="12"/>
      <c r="C1549" s="12"/>
      <c r="D1549" s="15"/>
      <c r="E1549" s="19"/>
      <c r="F1549" s="19"/>
      <c r="G1549" s="12"/>
    </row>
    <row r="1550" spans="2:7" x14ac:dyDescent="0.25">
      <c r="B1550" s="12"/>
      <c r="C1550" s="12"/>
      <c r="D1550" s="15"/>
      <c r="E1550" s="19"/>
      <c r="F1550" s="19"/>
      <c r="G1550" s="12"/>
    </row>
    <row r="1551" spans="2:7" x14ac:dyDescent="0.25">
      <c r="B1551" s="12"/>
      <c r="C1551" s="12"/>
      <c r="D1551" s="15"/>
      <c r="E1551" s="19"/>
      <c r="F1551" s="19"/>
      <c r="G1551" s="12"/>
    </row>
    <row r="1552" spans="2:7" x14ac:dyDescent="0.25">
      <c r="B1552" s="12"/>
      <c r="C1552" s="12"/>
      <c r="D1552" s="15"/>
      <c r="E1552" s="19"/>
      <c r="F1552" s="19"/>
      <c r="G1552" s="12"/>
    </row>
    <row r="1553" spans="2:7" x14ac:dyDescent="0.25">
      <c r="B1553" s="12"/>
      <c r="C1553" s="12"/>
      <c r="D1553" s="15"/>
      <c r="E1553" s="19"/>
      <c r="F1553" s="19"/>
      <c r="G1553" s="12"/>
    </row>
    <row r="1554" spans="2:7" x14ac:dyDescent="0.25">
      <c r="B1554" s="12"/>
      <c r="C1554" s="12"/>
      <c r="D1554" s="15"/>
      <c r="E1554" s="19"/>
      <c r="F1554" s="19"/>
      <c r="G1554" s="12"/>
    </row>
    <row r="1555" spans="2:7" x14ac:dyDescent="0.25">
      <c r="B1555" s="12"/>
      <c r="C1555" s="12"/>
      <c r="D1555" s="15"/>
      <c r="E1555" s="19"/>
      <c r="F1555" s="19"/>
      <c r="G1555" s="12"/>
    </row>
    <row r="1556" spans="2:7" x14ac:dyDescent="0.25">
      <c r="B1556" s="12"/>
      <c r="C1556" s="12"/>
      <c r="D1556" s="15"/>
      <c r="E1556" s="19"/>
      <c r="F1556" s="19"/>
      <c r="G1556" s="12"/>
    </row>
    <row r="1557" spans="2:7" x14ac:dyDescent="0.25">
      <c r="B1557" s="12"/>
      <c r="C1557" s="12"/>
      <c r="D1557" s="15"/>
      <c r="E1557" s="19"/>
      <c r="F1557" s="19"/>
      <c r="G1557" s="12"/>
    </row>
    <row r="1558" spans="2:7" x14ac:dyDescent="0.25">
      <c r="B1558" s="12"/>
      <c r="C1558" s="12"/>
      <c r="D1558" s="15"/>
      <c r="E1558" s="19"/>
      <c r="F1558" s="19"/>
      <c r="G1558" s="12"/>
    </row>
    <row r="1559" spans="2:7" x14ac:dyDescent="0.25">
      <c r="B1559" s="12"/>
      <c r="C1559" s="12"/>
      <c r="D1559" s="15"/>
      <c r="E1559" s="19"/>
      <c r="F1559" s="19"/>
      <c r="G1559" s="12"/>
    </row>
    <row r="1560" spans="2:7" x14ac:dyDescent="0.25">
      <c r="B1560" s="12"/>
      <c r="C1560" s="12"/>
      <c r="D1560" s="15"/>
      <c r="E1560" s="19"/>
      <c r="F1560" s="19"/>
      <c r="G1560" s="12"/>
    </row>
    <row r="1561" spans="2:7" x14ac:dyDescent="0.25">
      <c r="B1561" s="12"/>
      <c r="C1561" s="12"/>
      <c r="D1561" s="15"/>
      <c r="E1561" s="19"/>
      <c r="F1561" s="19"/>
      <c r="G1561" s="12"/>
    </row>
    <row r="1562" spans="2:7" x14ac:dyDescent="0.25">
      <c r="B1562" s="12"/>
      <c r="C1562" s="12"/>
      <c r="D1562" s="15"/>
      <c r="E1562" s="19"/>
      <c r="F1562" s="19"/>
      <c r="G1562" s="12"/>
    </row>
    <row r="1563" spans="2:7" x14ac:dyDescent="0.25">
      <c r="B1563" s="12"/>
      <c r="C1563" s="12"/>
      <c r="D1563" s="15"/>
      <c r="E1563" s="19"/>
      <c r="F1563" s="19"/>
      <c r="G1563" s="12"/>
    </row>
    <row r="1564" spans="2:7" x14ac:dyDescent="0.25">
      <c r="B1564" s="12"/>
      <c r="C1564" s="12"/>
      <c r="D1564" s="15"/>
      <c r="E1564" s="19"/>
      <c r="F1564" s="19"/>
      <c r="G1564" s="12"/>
    </row>
    <row r="1565" spans="2:7" x14ac:dyDescent="0.25">
      <c r="B1565" s="12"/>
      <c r="C1565" s="12"/>
      <c r="D1565" s="15"/>
      <c r="E1565" s="19"/>
      <c r="F1565" s="19"/>
      <c r="G1565" s="12"/>
    </row>
    <row r="1566" spans="2:7" x14ac:dyDescent="0.25">
      <c r="B1566" s="12"/>
      <c r="C1566" s="12"/>
      <c r="D1566" s="15"/>
      <c r="E1566" s="19"/>
      <c r="F1566" s="19"/>
      <c r="G1566" s="12"/>
    </row>
    <row r="1567" spans="2:7" x14ac:dyDescent="0.25">
      <c r="B1567" s="12"/>
      <c r="C1567" s="12"/>
      <c r="D1567" s="15"/>
      <c r="E1567" s="19"/>
      <c r="F1567" s="19"/>
      <c r="G1567" s="12"/>
    </row>
    <row r="1568" spans="2:7" x14ac:dyDescent="0.25">
      <c r="B1568" s="12"/>
      <c r="C1568" s="12"/>
      <c r="D1568" s="15"/>
      <c r="E1568" s="19"/>
      <c r="F1568" s="19"/>
      <c r="G1568" s="12"/>
    </row>
    <row r="1569" spans="2:7" x14ac:dyDescent="0.25">
      <c r="B1569" s="12"/>
      <c r="C1569" s="12"/>
      <c r="D1569" s="15"/>
      <c r="E1569" s="19"/>
      <c r="F1569" s="19"/>
      <c r="G1569" s="12"/>
    </row>
    <row r="1570" spans="2:7" x14ac:dyDescent="0.25">
      <c r="B1570" s="12"/>
      <c r="C1570" s="12"/>
      <c r="D1570" s="15"/>
      <c r="E1570" s="19"/>
      <c r="F1570" s="19"/>
      <c r="G1570" s="12"/>
    </row>
    <row r="1571" spans="2:7" x14ac:dyDescent="0.25">
      <c r="B1571" s="12"/>
      <c r="C1571" s="12"/>
      <c r="D1571" s="15"/>
      <c r="E1571" s="19"/>
      <c r="F1571" s="19"/>
      <c r="G1571" s="12"/>
    </row>
    <row r="1572" spans="2:7" x14ac:dyDescent="0.25">
      <c r="B1572" s="12"/>
      <c r="C1572" s="12"/>
      <c r="D1572" s="15"/>
      <c r="E1572" s="19"/>
      <c r="F1572" s="19"/>
      <c r="G1572" s="12"/>
    </row>
    <row r="1573" spans="2:7" x14ac:dyDescent="0.25">
      <c r="B1573" s="12"/>
      <c r="C1573" s="12"/>
      <c r="D1573" s="15"/>
      <c r="E1573" s="19"/>
      <c r="F1573" s="19"/>
      <c r="G1573" s="12"/>
    </row>
    <row r="1574" spans="2:7" x14ac:dyDescent="0.25">
      <c r="B1574" s="12"/>
      <c r="C1574" s="12"/>
      <c r="D1574" s="15"/>
      <c r="E1574" s="19"/>
      <c r="F1574" s="19"/>
      <c r="G1574" s="12"/>
    </row>
    <row r="1575" spans="2:7" x14ac:dyDescent="0.25">
      <c r="B1575" s="12"/>
      <c r="C1575" s="12"/>
      <c r="D1575" s="15"/>
      <c r="E1575" s="19"/>
      <c r="F1575" s="19"/>
      <c r="G1575" s="12"/>
    </row>
    <row r="1576" spans="2:7" x14ac:dyDescent="0.25">
      <c r="B1576" s="12"/>
      <c r="C1576" s="12"/>
      <c r="D1576" s="15"/>
      <c r="E1576" s="19"/>
      <c r="F1576" s="19"/>
      <c r="G1576" s="12"/>
    </row>
    <row r="1577" spans="2:7" x14ac:dyDescent="0.25">
      <c r="B1577" s="12"/>
      <c r="C1577" s="12"/>
      <c r="D1577" s="15"/>
      <c r="E1577" s="19"/>
      <c r="F1577" s="19"/>
      <c r="G1577" s="12"/>
    </row>
    <row r="1578" spans="2:7" x14ac:dyDescent="0.25">
      <c r="B1578" s="12"/>
      <c r="C1578" s="12"/>
      <c r="D1578" s="15"/>
      <c r="E1578" s="19"/>
      <c r="F1578" s="19"/>
      <c r="G1578" s="12"/>
    </row>
    <row r="1579" spans="2:7" x14ac:dyDescent="0.25">
      <c r="B1579" s="12"/>
      <c r="C1579" s="12"/>
      <c r="D1579" s="15"/>
      <c r="E1579" s="19"/>
      <c r="F1579" s="19"/>
      <c r="G1579" s="12"/>
    </row>
    <row r="1580" spans="2:7" x14ac:dyDescent="0.25">
      <c r="B1580" s="12"/>
      <c r="C1580" s="12"/>
      <c r="D1580" s="15"/>
      <c r="E1580" s="19"/>
      <c r="F1580" s="19"/>
      <c r="G1580" s="12"/>
    </row>
    <row r="1581" spans="2:7" x14ac:dyDescent="0.25">
      <c r="B1581" s="12"/>
      <c r="C1581" s="12"/>
      <c r="D1581" s="15"/>
      <c r="E1581" s="19"/>
      <c r="F1581" s="19"/>
      <c r="G1581" s="12"/>
    </row>
    <row r="1582" spans="2:7" x14ac:dyDescent="0.25">
      <c r="B1582" s="12"/>
      <c r="C1582" s="12"/>
      <c r="D1582" s="15"/>
      <c r="E1582" s="19"/>
      <c r="F1582" s="19"/>
      <c r="G1582" s="12"/>
    </row>
    <row r="1583" spans="2:7" x14ac:dyDescent="0.25">
      <c r="B1583" s="12"/>
      <c r="C1583" s="12"/>
      <c r="D1583" s="15"/>
      <c r="E1583" s="19"/>
      <c r="F1583" s="19"/>
      <c r="G1583" s="12"/>
    </row>
    <row r="1584" spans="2:7" x14ac:dyDescent="0.25">
      <c r="B1584" s="12"/>
      <c r="C1584" s="12"/>
      <c r="D1584" s="15"/>
      <c r="E1584" s="19"/>
      <c r="F1584" s="19"/>
      <c r="G1584" s="12"/>
    </row>
    <row r="1585" spans="2:7" x14ac:dyDescent="0.25">
      <c r="B1585" s="12"/>
      <c r="C1585" s="12"/>
      <c r="D1585" s="15"/>
      <c r="E1585" s="19"/>
      <c r="F1585" s="19"/>
      <c r="G1585" s="12"/>
    </row>
    <row r="1586" spans="2:7" x14ac:dyDescent="0.25">
      <c r="B1586" s="12"/>
      <c r="C1586" s="12"/>
      <c r="D1586" s="15"/>
      <c r="E1586" s="19"/>
      <c r="F1586" s="19"/>
      <c r="G1586" s="12"/>
    </row>
    <row r="1587" spans="2:7" x14ac:dyDescent="0.25">
      <c r="B1587" s="12"/>
      <c r="C1587" s="12"/>
      <c r="D1587" s="15"/>
      <c r="E1587" s="19"/>
      <c r="F1587" s="19"/>
      <c r="G1587" s="12"/>
    </row>
    <row r="1588" spans="2:7" x14ac:dyDescent="0.25">
      <c r="B1588" s="12"/>
      <c r="C1588" s="12"/>
      <c r="D1588" s="15"/>
      <c r="E1588" s="19"/>
      <c r="F1588" s="19"/>
      <c r="G1588" s="12"/>
    </row>
    <row r="1589" spans="2:7" x14ac:dyDescent="0.25">
      <c r="B1589" s="12"/>
      <c r="C1589" s="12"/>
      <c r="D1589" s="15"/>
      <c r="E1589" s="19"/>
      <c r="F1589" s="19"/>
      <c r="G1589" s="12"/>
    </row>
    <row r="1590" spans="2:7" x14ac:dyDescent="0.25">
      <c r="B1590" s="12"/>
      <c r="C1590" s="12"/>
      <c r="D1590" s="15"/>
      <c r="E1590" s="19"/>
      <c r="F1590" s="19"/>
      <c r="G1590" s="12"/>
    </row>
    <row r="1591" spans="2:7" x14ac:dyDescent="0.25">
      <c r="B1591" s="12"/>
      <c r="C1591" s="12"/>
      <c r="D1591" s="15"/>
      <c r="E1591" s="19"/>
      <c r="F1591" s="19"/>
      <c r="G1591" s="12"/>
    </row>
    <row r="1592" spans="2:7" x14ac:dyDescent="0.25">
      <c r="B1592" s="12"/>
      <c r="C1592" s="12"/>
      <c r="D1592" s="15"/>
      <c r="E1592" s="19"/>
      <c r="F1592" s="19"/>
      <c r="G1592" s="12"/>
    </row>
    <row r="1593" spans="2:7" x14ac:dyDescent="0.25">
      <c r="B1593" s="12"/>
      <c r="C1593" s="12"/>
      <c r="D1593" s="15"/>
      <c r="E1593" s="19"/>
      <c r="F1593" s="19"/>
      <c r="G1593" s="12"/>
    </row>
    <row r="1594" spans="2:7" x14ac:dyDescent="0.25">
      <c r="B1594" s="12"/>
      <c r="C1594" s="12"/>
      <c r="D1594" s="15"/>
      <c r="E1594" s="19"/>
      <c r="F1594" s="19"/>
      <c r="G1594" s="12"/>
    </row>
    <row r="1595" spans="2:7" x14ac:dyDescent="0.25">
      <c r="B1595" s="12"/>
      <c r="C1595" s="12"/>
      <c r="D1595" s="15"/>
      <c r="E1595" s="19"/>
      <c r="F1595" s="19"/>
      <c r="G1595" s="12"/>
    </row>
    <row r="1596" spans="2:7" x14ac:dyDescent="0.25">
      <c r="B1596" s="12"/>
      <c r="C1596" s="12"/>
      <c r="D1596" s="15"/>
      <c r="E1596" s="19"/>
      <c r="F1596" s="19"/>
      <c r="G1596" s="12"/>
    </row>
    <row r="1597" spans="2:7" x14ac:dyDescent="0.25">
      <c r="B1597" s="12"/>
      <c r="C1597" s="12"/>
      <c r="D1597" s="15"/>
      <c r="E1597" s="19"/>
      <c r="F1597" s="19"/>
      <c r="G1597" s="12"/>
    </row>
    <row r="1598" spans="2:7" x14ac:dyDescent="0.25">
      <c r="B1598" s="12"/>
      <c r="C1598" s="12"/>
      <c r="D1598" s="15"/>
      <c r="E1598" s="19"/>
      <c r="F1598" s="19"/>
      <c r="G1598" s="12"/>
    </row>
    <row r="1599" spans="2:7" x14ac:dyDescent="0.25">
      <c r="B1599" s="12"/>
      <c r="C1599" s="12"/>
      <c r="D1599" s="15"/>
      <c r="E1599" s="19"/>
      <c r="F1599" s="19"/>
      <c r="G1599" s="12"/>
    </row>
    <row r="1600" spans="2:7" x14ac:dyDescent="0.25">
      <c r="B1600" s="12"/>
      <c r="C1600" s="12"/>
      <c r="D1600" s="15"/>
      <c r="E1600" s="19"/>
      <c r="F1600" s="19"/>
      <c r="G1600" s="12"/>
    </row>
    <row r="1601" spans="2:7" x14ac:dyDescent="0.25">
      <c r="B1601" s="12"/>
      <c r="C1601" s="12"/>
      <c r="D1601" s="15"/>
      <c r="E1601" s="19"/>
      <c r="F1601" s="19"/>
      <c r="G1601" s="12"/>
    </row>
    <row r="1602" spans="2:7" x14ac:dyDescent="0.25">
      <c r="B1602" s="12"/>
      <c r="C1602" s="12"/>
      <c r="D1602" s="15"/>
      <c r="E1602" s="19"/>
      <c r="F1602" s="19"/>
      <c r="G1602" s="12"/>
    </row>
    <row r="1603" spans="2:7" x14ac:dyDescent="0.25">
      <c r="B1603" s="12"/>
      <c r="C1603" s="12"/>
      <c r="D1603" s="15"/>
      <c r="E1603" s="19"/>
      <c r="F1603" s="19"/>
      <c r="G1603" s="12"/>
    </row>
    <row r="1604" spans="2:7" x14ac:dyDescent="0.25">
      <c r="B1604" s="12"/>
      <c r="C1604" s="12"/>
      <c r="D1604" s="15"/>
      <c r="E1604" s="19"/>
      <c r="F1604" s="19"/>
      <c r="G1604" s="12"/>
    </row>
    <row r="1605" spans="2:7" x14ac:dyDescent="0.25">
      <c r="B1605" s="12"/>
      <c r="C1605" s="12"/>
      <c r="D1605" s="15"/>
      <c r="E1605" s="19"/>
      <c r="F1605" s="19"/>
      <c r="G1605" s="12"/>
    </row>
    <row r="1606" spans="2:7" x14ac:dyDescent="0.25">
      <c r="B1606" s="12"/>
      <c r="C1606" s="12"/>
      <c r="D1606" s="15"/>
      <c r="E1606" s="19"/>
      <c r="F1606" s="19"/>
      <c r="G1606" s="12"/>
    </row>
    <row r="1607" spans="2:7" x14ac:dyDescent="0.25">
      <c r="B1607" s="12"/>
      <c r="C1607" s="12"/>
      <c r="D1607" s="15"/>
      <c r="E1607" s="19"/>
      <c r="F1607" s="19"/>
      <c r="G1607" s="12"/>
    </row>
    <row r="1608" spans="2:7" x14ac:dyDescent="0.25">
      <c r="B1608" s="12"/>
      <c r="C1608" s="12"/>
      <c r="D1608" s="15"/>
      <c r="E1608" s="19"/>
      <c r="F1608" s="19"/>
      <c r="G1608" s="12"/>
    </row>
    <row r="1609" spans="2:7" x14ac:dyDescent="0.25">
      <c r="B1609" s="12"/>
      <c r="C1609" s="12"/>
      <c r="D1609" s="15"/>
      <c r="E1609" s="19"/>
      <c r="F1609" s="19"/>
      <c r="G1609" s="12"/>
    </row>
    <row r="1610" spans="2:7" x14ac:dyDescent="0.25">
      <c r="B1610" s="12"/>
      <c r="C1610" s="12"/>
      <c r="D1610" s="15"/>
      <c r="E1610" s="19"/>
      <c r="F1610" s="19"/>
      <c r="G1610" s="12"/>
    </row>
    <row r="1611" spans="2:7" x14ac:dyDescent="0.25">
      <c r="B1611" s="12"/>
      <c r="C1611" s="12"/>
      <c r="D1611" s="15"/>
      <c r="E1611" s="19"/>
      <c r="F1611" s="19"/>
      <c r="G1611" s="12"/>
    </row>
    <row r="1612" spans="2:7" x14ac:dyDescent="0.25">
      <c r="B1612" s="12"/>
      <c r="C1612" s="12"/>
      <c r="D1612" s="15"/>
      <c r="E1612" s="19"/>
      <c r="F1612" s="19"/>
      <c r="G1612" s="12"/>
    </row>
    <row r="1613" spans="2:7" x14ac:dyDescent="0.25">
      <c r="B1613" s="12"/>
      <c r="C1613" s="12"/>
      <c r="D1613" s="15"/>
      <c r="E1613" s="19"/>
      <c r="F1613" s="19"/>
      <c r="G1613" s="12"/>
    </row>
    <row r="1614" spans="2:7" x14ac:dyDescent="0.25">
      <c r="B1614" s="12"/>
      <c r="C1614" s="12"/>
      <c r="D1614" s="15"/>
      <c r="E1614" s="19"/>
      <c r="F1614" s="19"/>
      <c r="G1614" s="12"/>
    </row>
    <row r="1615" spans="2:7" x14ac:dyDescent="0.25">
      <c r="B1615" s="12"/>
      <c r="C1615" s="12"/>
      <c r="D1615" s="15"/>
      <c r="E1615" s="19"/>
      <c r="F1615" s="19"/>
      <c r="G1615" s="12"/>
    </row>
    <row r="1616" spans="2:7" x14ac:dyDescent="0.25">
      <c r="B1616" s="12"/>
      <c r="C1616" s="12"/>
      <c r="D1616" s="15"/>
      <c r="E1616" s="19"/>
      <c r="F1616" s="19"/>
      <c r="G1616" s="12"/>
    </row>
    <row r="1617" spans="2:7" x14ac:dyDescent="0.25">
      <c r="B1617" s="12"/>
      <c r="C1617" s="12"/>
      <c r="D1617" s="15"/>
      <c r="E1617" s="19"/>
      <c r="F1617" s="19"/>
      <c r="G1617" s="12"/>
    </row>
    <row r="1618" spans="2:7" x14ac:dyDescent="0.25">
      <c r="B1618" s="12"/>
      <c r="C1618" s="12"/>
      <c r="D1618" s="15"/>
      <c r="E1618" s="19"/>
      <c r="F1618" s="19"/>
      <c r="G1618" s="12"/>
    </row>
    <row r="1619" spans="2:7" x14ac:dyDescent="0.25">
      <c r="B1619" s="12"/>
      <c r="C1619" s="12"/>
      <c r="D1619" s="15"/>
      <c r="E1619" s="19"/>
      <c r="F1619" s="19"/>
      <c r="G1619" s="12"/>
    </row>
    <row r="1620" spans="2:7" x14ac:dyDescent="0.25">
      <c r="B1620" s="12"/>
      <c r="C1620" s="12"/>
      <c r="D1620" s="15"/>
      <c r="E1620" s="19"/>
      <c r="F1620" s="19"/>
      <c r="G1620" s="12"/>
    </row>
    <row r="1621" spans="2:7" x14ac:dyDescent="0.25">
      <c r="B1621" s="12"/>
      <c r="C1621" s="12"/>
      <c r="D1621" s="15"/>
      <c r="E1621" s="19"/>
      <c r="F1621" s="19"/>
      <c r="G1621" s="12"/>
    </row>
    <row r="1622" spans="2:7" x14ac:dyDescent="0.25">
      <c r="B1622" s="12"/>
      <c r="C1622" s="12"/>
      <c r="D1622" s="15"/>
      <c r="E1622" s="19"/>
      <c r="F1622" s="19"/>
      <c r="G1622" s="12"/>
    </row>
    <row r="1623" spans="2:7" x14ac:dyDescent="0.25">
      <c r="B1623" s="12"/>
      <c r="C1623" s="12"/>
      <c r="D1623" s="15"/>
      <c r="E1623" s="19"/>
      <c r="F1623" s="19"/>
      <c r="G1623" s="12"/>
    </row>
    <row r="1624" spans="2:7" x14ac:dyDescent="0.25">
      <c r="B1624" s="12"/>
      <c r="C1624" s="12"/>
      <c r="D1624" s="15"/>
      <c r="E1624" s="19"/>
      <c r="F1624" s="19"/>
      <c r="G1624" s="12"/>
    </row>
    <row r="1625" spans="2:7" x14ac:dyDescent="0.25">
      <c r="B1625" s="12"/>
      <c r="C1625" s="12"/>
      <c r="D1625" s="15"/>
      <c r="E1625" s="19"/>
      <c r="F1625" s="19"/>
      <c r="G1625" s="12"/>
    </row>
    <row r="1626" spans="2:7" x14ac:dyDescent="0.25">
      <c r="B1626" s="12"/>
      <c r="C1626" s="12"/>
      <c r="D1626" s="15"/>
      <c r="E1626" s="19"/>
      <c r="F1626" s="19"/>
      <c r="G1626" s="12"/>
    </row>
    <row r="1627" spans="2:7" x14ac:dyDescent="0.25">
      <c r="B1627" s="12"/>
      <c r="C1627" s="12"/>
      <c r="D1627" s="15"/>
      <c r="E1627" s="19"/>
      <c r="F1627" s="19"/>
      <c r="G1627" s="12"/>
    </row>
    <row r="1628" spans="2:7" x14ac:dyDescent="0.25">
      <c r="B1628" s="12"/>
      <c r="C1628" s="12"/>
      <c r="D1628" s="15"/>
      <c r="E1628" s="19"/>
      <c r="F1628" s="19"/>
      <c r="G1628" s="12"/>
    </row>
    <row r="1629" spans="2:7" x14ac:dyDescent="0.25">
      <c r="B1629" s="12"/>
      <c r="C1629" s="12"/>
      <c r="D1629" s="15"/>
      <c r="E1629" s="19"/>
      <c r="F1629" s="19"/>
      <c r="G1629" s="12"/>
    </row>
    <row r="1630" spans="2:7" x14ac:dyDescent="0.25">
      <c r="B1630" s="12"/>
      <c r="C1630" s="12"/>
      <c r="D1630" s="15"/>
      <c r="E1630" s="19"/>
      <c r="F1630" s="19"/>
      <c r="G1630" s="12"/>
    </row>
    <row r="1631" spans="2:7" x14ac:dyDescent="0.25">
      <c r="B1631" s="12"/>
      <c r="C1631" s="12"/>
      <c r="D1631" s="15"/>
      <c r="E1631" s="19"/>
      <c r="F1631" s="19"/>
      <c r="G1631" s="12"/>
    </row>
    <row r="1632" spans="2:7" x14ac:dyDescent="0.25">
      <c r="B1632" s="12"/>
      <c r="C1632" s="12"/>
      <c r="D1632" s="15"/>
      <c r="E1632" s="19"/>
      <c r="F1632" s="19"/>
      <c r="G1632" s="12"/>
    </row>
    <row r="1633" spans="2:7" x14ac:dyDescent="0.25">
      <c r="B1633" s="12"/>
      <c r="C1633" s="12"/>
      <c r="D1633" s="15"/>
      <c r="E1633" s="19"/>
      <c r="F1633" s="19"/>
      <c r="G1633" s="12"/>
    </row>
    <row r="1634" spans="2:7" x14ac:dyDescent="0.25">
      <c r="B1634" s="12"/>
      <c r="C1634" s="12"/>
      <c r="D1634" s="15"/>
      <c r="E1634" s="19"/>
      <c r="F1634" s="19"/>
      <c r="G1634" s="12"/>
    </row>
    <row r="1635" spans="2:7" x14ac:dyDescent="0.25">
      <c r="B1635" s="12"/>
      <c r="C1635" s="12"/>
      <c r="D1635" s="15"/>
      <c r="E1635" s="19"/>
      <c r="F1635" s="19"/>
      <c r="G1635" s="12"/>
    </row>
    <row r="1636" spans="2:7" x14ac:dyDescent="0.25">
      <c r="B1636" s="12"/>
      <c r="C1636" s="12"/>
      <c r="D1636" s="15"/>
      <c r="E1636" s="19"/>
      <c r="F1636" s="19"/>
      <c r="G1636" s="12"/>
    </row>
    <row r="1637" spans="2:7" x14ac:dyDescent="0.25">
      <c r="B1637" s="12"/>
      <c r="C1637" s="12"/>
      <c r="D1637" s="15"/>
      <c r="E1637" s="19"/>
      <c r="F1637" s="19"/>
      <c r="G1637" s="12"/>
    </row>
    <row r="1638" spans="2:7" x14ac:dyDescent="0.25">
      <c r="B1638" s="12"/>
      <c r="C1638" s="12"/>
      <c r="D1638" s="15"/>
      <c r="E1638" s="19"/>
      <c r="F1638" s="19"/>
      <c r="G1638" s="12"/>
    </row>
    <row r="1639" spans="2:7" x14ac:dyDescent="0.25">
      <c r="B1639" s="12"/>
      <c r="C1639" s="12"/>
      <c r="D1639" s="15"/>
      <c r="E1639" s="19"/>
      <c r="F1639" s="19"/>
      <c r="G1639" s="12"/>
    </row>
    <row r="1640" spans="2:7" x14ac:dyDescent="0.25">
      <c r="B1640" s="12"/>
      <c r="C1640" s="12"/>
      <c r="D1640" s="15"/>
      <c r="E1640" s="19"/>
      <c r="F1640" s="19"/>
      <c r="G1640" s="12"/>
    </row>
    <row r="1641" spans="2:7" x14ac:dyDescent="0.25">
      <c r="B1641" s="12"/>
      <c r="C1641" s="12"/>
      <c r="D1641" s="15"/>
      <c r="E1641" s="19"/>
      <c r="F1641" s="19"/>
      <c r="G1641" s="12"/>
    </row>
    <row r="1642" spans="2:7" x14ac:dyDescent="0.25">
      <c r="B1642" s="12"/>
      <c r="C1642" s="12"/>
      <c r="D1642" s="15"/>
      <c r="E1642" s="19"/>
      <c r="F1642" s="19"/>
      <c r="G1642" s="12"/>
    </row>
    <row r="1643" spans="2:7" x14ac:dyDescent="0.25">
      <c r="B1643" s="12"/>
      <c r="C1643" s="12"/>
      <c r="D1643" s="15"/>
      <c r="E1643" s="19"/>
      <c r="F1643" s="19"/>
      <c r="G1643" s="12"/>
    </row>
    <row r="1644" spans="2:7" x14ac:dyDescent="0.25">
      <c r="B1644" s="12"/>
      <c r="C1644" s="12"/>
      <c r="D1644" s="15"/>
      <c r="E1644" s="19"/>
      <c r="F1644" s="19"/>
      <c r="G1644" s="12"/>
    </row>
    <row r="1645" spans="2:7" x14ac:dyDescent="0.25">
      <c r="B1645" s="12"/>
      <c r="C1645" s="12"/>
      <c r="D1645" s="15"/>
      <c r="E1645" s="19"/>
      <c r="F1645" s="19"/>
      <c r="G1645" s="12"/>
    </row>
    <row r="1646" spans="2:7" x14ac:dyDescent="0.25">
      <c r="B1646" s="12"/>
      <c r="C1646" s="12"/>
      <c r="D1646" s="15"/>
      <c r="E1646" s="19"/>
      <c r="F1646" s="19"/>
      <c r="G1646" s="12"/>
    </row>
    <row r="1647" spans="2:7" x14ac:dyDescent="0.25">
      <c r="B1647" s="12"/>
      <c r="C1647" s="12"/>
      <c r="D1647" s="15"/>
      <c r="E1647" s="19"/>
      <c r="F1647" s="19"/>
      <c r="G1647" s="12"/>
    </row>
    <row r="1648" spans="2:7" x14ac:dyDescent="0.25">
      <c r="B1648" s="12"/>
      <c r="C1648" s="12"/>
      <c r="D1648" s="15"/>
      <c r="E1648" s="19"/>
      <c r="F1648" s="19"/>
      <c r="G1648" s="12"/>
    </row>
    <row r="1649" spans="2:7" x14ac:dyDescent="0.25">
      <c r="B1649" s="12"/>
      <c r="C1649" s="12"/>
      <c r="D1649" s="15"/>
      <c r="E1649" s="19"/>
      <c r="F1649" s="19"/>
      <c r="G1649" s="12"/>
    </row>
    <row r="1650" spans="2:7" x14ac:dyDescent="0.25">
      <c r="B1650" s="12"/>
      <c r="C1650" s="12"/>
      <c r="D1650" s="15"/>
      <c r="E1650" s="19"/>
      <c r="F1650" s="19"/>
      <c r="G1650" s="12"/>
    </row>
    <row r="1651" spans="2:7" x14ac:dyDescent="0.25">
      <c r="B1651" s="12"/>
      <c r="C1651" s="12"/>
      <c r="D1651" s="15"/>
      <c r="E1651" s="19"/>
      <c r="F1651" s="19"/>
      <c r="G1651" s="12"/>
    </row>
    <row r="1652" spans="2:7" x14ac:dyDescent="0.25">
      <c r="B1652" s="12"/>
      <c r="C1652" s="12"/>
      <c r="D1652" s="15"/>
      <c r="E1652" s="19"/>
      <c r="F1652" s="19"/>
      <c r="G1652" s="12"/>
    </row>
    <row r="1653" spans="2:7" x14ac:dyDescent="0.25">
      <c r="B1653" s="12"/>
      <c r="C1653" s="12"/>
      <c r="D1653" s="15"/>
      <c r="E1653" s="19"/>
      <c r="F1653" s="19"/>
      <c r="G1653" s="12"/>
    </row>
    <row r="1654" spans="2:7" x14ac:dyDescent="0.25">
      <c r="B1654" s="12"/>
      <c r="C1654" s="12"/>
      <c r="D1654" s="15"/>
      <c r="E1654" s="19"/>
      <c r="F1654" s="19"/>
      <c r="G1654" s="12"/>
    </row>
    <row r="1655" spans="2:7" x14ac:dyDescent="0.25">
      <c r="B1655" s="12"/>
      <c r="C1655" s="12"/>
      <c r="D1655" s="15"/>
      <c r="E1655" s="19"/>
      <c r="F1655" s="19"/>
      <c r="G1655" s="12"/>
    </row>
    <row r="1656" spans="2:7" x14ac:dyDescent="0.25">
      <c r="B1656" s="12"/>
      <c r="C1656" s="12"/>
      <c r="D1656" s="15"/>
      <c r="E1656" s="19"/>
      <c r="F1656" s="19"/>
      <c r="G1656" s="12"/>
    </row>
    <row r="1657" spans="2:7" x14ac:dyDescent="0.25">
      <c r="B1657" s="12"/>
      <c r="C1657" s="12"/>
      <c r="D1657" s="15"/>
      <c r="E1657" s="19"/>
      <c r="F1657" s="19"/>
      <c r="G1657" s="12"/>
    </row>
    <row r="1658" spans="2:7" x14ac:dyDescent="0.25">
      <c r="B1658" s="12"/>
      <c r="C1658" s="12"/>
      <c r="D1658" s="15"/>
      <c r="E1658" s="19"/>
      <c r="F1658" s="19"/>
      <c r="G1658" s="12"/>
    </row>
    <row r="1659" spans="2:7" x14ac:dyDescent="0.25">
      <c r="B1659" s="12"/>
      <c r="C1659" s="12"/>
      <c r="D1659" s="15"/>
      <c r="E1659" s="19"/>
      <c r="F1659" s="19"/>
      <c r="G1659" s="12"/>
    </row>
    <row r="1660" spans="2:7" x14ac:dyDescent="0.25">
      <c r="B1660" s="12"/>
      <c r="C1660" s="12"/>
      <c r="D1660" s="15"/>
      <c r="E1660" s="19"/>
      <c r="F1660" s="19"/>
      <c r="G1660" s="12"/>
    </row>
    <row r="1661" spans="2:7" x14ac:dyDescent="0.25">
      <c r="B1661" s="12"/>
      <c r="C1661" s="12"/>
      <c r="D1661" s="15"/>
      <c r="E1661" s="19"/>
      <c r="F1661" s="19"/>
      <c r="G1661" s="12"/>
    </row>
    <row r="1662" spans="2:7" x14ac:dyDescent="0.25">
      <c r="B1662" s="12"/>
      <c r="C1662" s="12"/>
      <c r="D1662" s="15"/>
      <c r="E1662" s="19"/>
      <c r="F1662" s="19"/>
      <c r="G1662" s="12"/>
    </row>
    <row r="1663" spans="2:7" x14ac:dyDescent="0.25">
      <c r="B1663" s="12"/>
      <c r="C1663" s="12"/>
      <c r="D1663" s="15"/>
      <c r="E1663" s="19"/>
      <c r="F1663" s="19"/>
      <c r="G1663" s="12"/>
    </row>
    <row r="1664" spans="2:7" x14ac:dyDescent="0.25">
      <c r="B1664" s="12"/>
      <c r="C1664" s="12"/>
      <c r="D1664" s="15"/>
      <c r="E1664" s="19"/>
      <c r="F1664" s="19"/>
      <c r="G1664" s="12"/>
    </row>
    <row r="1665" spans="2:7" x14ac:dyDescent="0.25">
      <c r="B1665" s="12"/>
      <c r="C1665" s="12"/>
      <c r="D1665" s="15"/>
      <c r="E1665" s="19"/>
      <c r="F1665" s="19"/>
      <c r="G1665" s="12"/>
    </row>
    <row r="1666" spans="2:7" x14ac:dyDescent="0.25">
      <c r="B1666" s="12"/>
      <c r="C1666" s="12"/>
      <c r="D1666" s="15"/>
      <c r="E1666" s="19"/>
      <c r="F1666" s="19"/>
      <c r="G1666" s="12"/>
    </row>
    <row r="1667" spans="2:7" x14ac:dyDescent="0.25">
      <c r="B1667" s="12"/>
      <c r="C1667" s="12"/>
      <c r="D1667" s="15"/>
      <c r="E1667" s="19"/>
      <c r="F1667" s="19"/>
      <c r="G1667" s="12"/>
    </row>
    <row r="1668" spans="2:7" x14ac:dyDescent="0.25">
      <c r="B1668" s="12"/>
      <c r="C1668" s="12"/>
      <c r="D1668" s="15"/>
      <c r="E1668" s="19"/>
      <c r="F1668" s="19"/>
      <c r="G1668" s="12"/>
    </row>
    <row r="1669" spans="2:7" x14ac:dyDescent="0.25">
      <c r="B1669" s="12"/>
      <c r="C1669" s="12"/>
      <c r="D1669" s="15"/>
      <c r="E1669" s="19"/>
      <c r="F1669" s="19"/>
      <c r="G1669" s="12"/>
    </row>
    <row r="1670" spans="2:7" x14ac:dyDescent="0.25">
      <c r="B1670" s="12"/>
      <c r="C1670" s="12"/>
      <c r="D1670" s="15"/>
      <c r="E1670" s="19"/>
      <c r="F1670" s="19"/>
      <c r="G1670" s="12"/>
    </row>
    <row r="1671" spans="2:7" x14ac:dyDescent="0.25">
      <c r="B1671" s="12"/>
      <c r="C1671" s="12"/>
      <c r="D1671" s="15"/>
      <c r="E1671" s="19"/>
      <c r="F1671" s="19"/>
      <c r="G1671" s="12"/>
    </row>
    <row r="1672" spans="2:7" x14ac:dyDescent="0.25">
      <c r="B1672" s="12"/>
      <c r="C1672" s="12"/>
      <c r="D1672" s="15"/>
      <c r="E1672" s="19"/>
      <c r="F1672" s="19"/>
      <c r="G1672" s="12"/>
    </row>
    <row r="1673" spans="2:7" x14ac:dyDescent="0.25">
      <c r="B1673" s="12"/>
      <c r="C1673" s="12"/>
      <c r="D1673" s="15"/>
      <c r="E1673" s="19"/>
      <c r="F1673" s="19"/>
      <c r="G1673" s="12"/>
    </row>
    <row r="1674" spans="2:7" x14ac:dyDescent="0.25">
      <c r="B1674" s="12"/>
      <c r="C1674" s="12"/>
      <c r="D1674" s="15"/>
      <c r="E1674" s="19"/>
      <c r="F1674" s="19"/>
      <c r="G1674" s="12"/>
    </row>
    <row r="1675" spans="2:7" x14ac:dyDescent="0.25">
      <c r="B1675" s="12"/>
      <c r="C1675" s="12"/>
      <c r="D1675" s="15"/>
      <c r="E1675" s="19"/>
      <c r="F1675" s="19"/>
      <c r="G1675" s="12"/>
    </row>
    <row r="1676" spans="2:7" x14ac:dyDescent="0.25">
      <c r="B1676" s="12"/>
      <c r="C1676" s="12"/>
      <c r="D1676" s="15"/>
      <c r="E1676" s="19"/>
      <c r="F1676" s="19"/>
      <c r="G1676" s="12"/>
    </row>
    <row r="1677" spans="2:7" x14ac:dyDescent="0.25">
      <c r="B1677" s="12"/>
      <c r="C1677" s="12"/>
      <c r="D1677" s="15"/>
      <c r="E1677" s="19"/>
      <c r="F1677" s="19"/>
      <c r="G1677" s="12"/>
    </row>
    <row r="1678" spans="2:7" x14ac:dyDescent="0.25">
      <c r="B1678" s="12"/>
      <c r="C1678" s="12"/>
      <c r="D1678" s="15"/>
      <c r="E1678" s="19"/>
      <c r="F1678" s="19"/>
      <c r="G1678" s="12"/>
    </row>
    <row r="1679" spans="2:7" x14ac:dyDescent="0.25">
      <c r="B1679" s="12"/>
      <c r="C1679" s="12"/>
      <c r="D1679" s="15"/>
      <c r="E1679" s="19"/>
      <c r="F1679" s="19"/>
      <c r="G1679" s="12"/>
    </row>
    <row r="1680" spans="2:7" x14ac:dyDescent="0.25">
      <c r="B1680" s="12"/>
      <c r="C1680" s="12"/>
      <c r="D1680" s="15"/>
      <c r="E1680" s="19"/>
      <c r="F1680" s="19"/>
      <c r="G1680" s="12"/>
    </row>
    <row r="1681" spans="2:7" x14ac:dyDescent="0.25">
      <c r="B1681" s="12"/>
      <c r="C1681" s="12"/>
      <c r="D1681" s="15"/>
      <c r="E1681" s="19"/>
      <c r="F1681" s="19"/>
      <c r="G1681" s="12"/>
    </row>
    <row r="1682" spans="2:7" x14ac:dyDescent="0.25">
      <c r="B1682" s="12"/>
      <c r="C1682" s="12"/>
      <c r="D1682" s="15"/>
      <c r="E1682" s="19"/>
      <c r="F1682" s="19"/>
      <c r="G1682" s="12"/>
    </row>
    <row r="1683" spans="2:7" x14ac:dyDescent="0.25">
      <c r="B1683" s="12"/>
      <c r="C1683" s="12"/>
      <c r="D1683" s="15"/>
      <c r="E1683" s="19"/>
      <c r="F1683" s="19"/>
      <c r="G1683" s="12"/>
    </row>
    <row r="1684" spans="2:7" x14ac:dyDescent="0.25">
      <c r="B1684" s="12"/>
      <c r="C1684" s="12"/>
      <c r="D1684" s="15"/>
      <c r="E1684" s="19"/>
      <c r="F1684" s="19"/>
      <c r="G1684" s="12"/>
    </row>
    <row r="1685" spans="2:7" x14ac:dyDescent="0.25">
      <c r="B1685" s="12"/>
      <c r="C1685" s="12"/>
      <c r="D1685" s="15"/>
      <c r="E1685" s="19"/>
      <c r="F1685" s="19"/>
      <c r="G1685" s="12"/>
    </row>
    <row r="1686" spans="2:7" x14ac:dyDescent="0.25">
      <c r="B1686" s="12"/>
      <c r="C1686" s="12"/>
      <c r="D1686" s="15"/>
      <c r="E1686" s="19"/>
      <c r="F1686" s="19"/>
      <c r="G1686" s="12"/>
    </row>
    <row r="1687" spans="2:7" x14ac:dyDescent="0.25">
      <c r="B1687" s="12"/>
      <c r="C1687" s="12"/>
      <c r="D1687" s="15"/>
      <c r="E1687" s="19"/>
      <c r="F1687" s="19"/>
      <c r="G1687" s="12"/>
    </row>
    <row r="1688" spans="2:7" x14ac:dyDescent="0.25">
      <c r="B1688" s="12"/>
      <c r="C1688" s="12"/>
      <c r="D1688" s="15"/>
      <c r="E1688" s="19"/>
      <c r="F1688" s="19"/>
      <c r="G1688" s="12"/>
    </row>
    <row r="1689" spans="2:7" x14ac:dyDescent="0.25">
      <c r="B1689" s="12"/>
      <c r="C1689" s="12"/>
      <c r="D1689" s="15"/>
      <c r="E1689" s="19"/>
      <c r="F1689" s="19"/>
      <c r="G1689" s="12"/>
    </row>
    <row r="1690" spans="2:7" x14ac:dyDescent="0.25">
      <c r="B1690" s="12"/>
      <c r="C1690" s="12"/>
      <c r="D1690" s="15"/>
      <c r="E1690" s="19"/>
      <c r="F1690" s="19"/>
      <c r="G1690" s="12"/>
    </row>
    <row r="1691" spans="2:7" x14ac:dyDescent="0.25">
      <c r="B1691" s="12"/>
      <c r="C1691" s="12"/>
      <c r="D1691" s="15"/>
      <c r="E1691" s="19"/>
      <c r="F1691" s="19"/>
      <c r="G1691" s="12"/>
    </row>
    <row r="1692" spans="2:7" x14ac:dyDescent="0.25">
      <c r="B1692" s="12"/>
      <c r="C1692" s="12"/>
      <c r="D1692" s="15"/>
      <c r="E1692" s="19"/>
      <c r="F1692" s="19"/>
      <c r="G1692" s="12"/>
    </row>
    <row r="1693" spans="2:7" x14ac:dyDescent="0.25">
      <c r="B1693" s="12"/>
      <c r="C1693" s="12"/>
      <c r="D1693" s="15"/>
      <c r="E1693" s="19"/>
      <c r="F1693" s="19"/>
      <c r="G1693" s="12"/>
    </row>
    <row r="1694" spans="2:7" x14ac:dyDescent="0.25">
      <c r="B1694" s="12"/>
      <c r="C1694" s="12"/>
      <c r="D1694" s="15"/>
      <c r="E1694" s="19"/>
      <c r="F1694" s="19"/>
      <c r="G1694" s="12"/>
    </row>
    <row r="1695" spans="2:7" x14ac:dyDescent="0.25">
      <c r="B1695" s="12"/>
      <c r="C1695" s="12"/>
      <c r="D1695" s="15"/>
      <c r="E1695" s="19"/>
      <c r="F1695" s="19"/>
      <c r="G1695" s="12"/>
    </row>
    <row r="1696" spans="2:7" x14ac:dyDescent="0.25">
      <c r="B1696" s="12"/>
      <c r="C1696" s="12"/>
      <c r="D1696" s="15"/>
      <c r="E1696" s="19"/>
      <c r="F1696" s="19"/>
      <c r="G1696" s="12"/>
    </row>
    <row r="1697" spans="2:7" x14ac:dyDescent="0.25">
      <c r="B1697" s="12"/>
      <c r="C1697" s="12"/>
      <c r="D1697" s="15"/>
      <c r="E1697" s="19"/>
      <c r="F1697" s="19"/>
      <c r="G1697" s="12"/>
    </row>
    <row r="1698" spans="2:7" x14ac:dyDescent="0.25">
      <c r="B1698" s="12"/>
      <c r="C1698" s="12"/>
      <c r="D1698" s="15"/>
      <c r="E1698" s="19"/>
      <c r="F1698" s="19"/>
      <c r="G1698" s="12"/>
    </row>
    <row r="1699" spans="2:7" x14ac:dyDescent="0.25">
      <c r="B1699" s="12"/>
      <c r="C1699" s="12"/>
      <c r="D1699" s="15"/>
      <c r="E1699" s="19"/>
      <c r="F1699" s="19"/>
      <c r="G1699" s="12"/>
    </row>
    <row r="1700" spans="2:7" x14ac:dyDescent="0.25">
      <c r="B1700" s="12"/>
      <c r="C1700" s="12"/>
      <c r="D1700" s="15"/>
      <c r="E1700" s="19"/>
      <c r="F1700" s="19"/>
      <c r="G1700" s="12"/>
    </row>
    <row r="1701" spans="2:7" x14ac:dyDescent="0.25">
      <c r="B1701" s="12"/>
      <c r="C1701" s="12"/>
      <c r="D1701" s="15"/>
      <c r="E1701" s="19"/>
      <c r="F1701" s="19"/>
      <c r="G1701" s="12"/>
    </row>
    <row r="1702" spans="2:7" x14ac:dyDescent="0.25">
      <c r="B1702" s="12"/>
      <c r="C1702" s="12"/>
      <c r="D1702" s="15"/>
      <c r="E1702" s="19"/>
      <c r="F1702" s="19"/>
      <c r="G1702" s="12"/>
    </row>
    <row r="1703" spans="2:7" x14ac:dyDescent="0.25">
      <c r="B1703" s="12"/>
      <c r="C1703" s="12"/>
      <c r="D1703" s="15"/>
      <c r="E1703" s="19"/>
      <c r="F1703" s="19"/>
      <c r="G1703" s="12"/>
    </row>
    <row r="1704" spans="2:7" x14ac:dyDescent="0.25">
      <c r="B1704" s="12"/>
      <c r="C1704" s="12"/>
      <c r="D1704" s="15"/>
      <c r="E1704" s="19"/>
      <c r="F1704" s="19"/>
      <c r="G1704" s="12"/>
    </row>
    <row r="1705" spans="2:7" x14ac:dyDescent="0.25">
      <c r="B1705" s="12"/>
      <c r="C1705" s="12"/>
      <c r="D1705" s="15"/>
      <c r="E1705" s="19"/>
      <c r="F1705" s="19"/>
      <c r="G1705" s="12"/>
    </row>
    <row r="1706" spans="2:7" x14ac:dyDescent="0.25">
      <c r="B1706" s="12"/>
      <c r="C1706" s="12"/>
      <c r="D1706" s="15"/>
      <c r="E1706" s="19"/>
      <c r="F1706" s="19"/>
      <c r="G1706" s="12"/>
    </row>
    <row r="1707" spans="2:7" x14ac:dyDescent="0.25">
      <c r="B1707" s="12"/>
      <c r="C1707" s="12"/>
      <c r="D1707" s="15"/>
      <c r="E1707" s="19"/>
      <c r="F1707" s="19"/>
      <c r="G1707" s="12"/>
    </row>
    <row r="1708" spans="2:7" x14ac:dyDescent="0.25">
      <c r="B1708" s="12"/>
      <c r="C1708" s="12"/>
      <c r="D1708" s="15"/>
      <c r="E1708" s="19"/>
      <c r="F1708" s="19"/>
      <c r="G1708" s="12"/>
    </row>
    <row r="1709" spans="2:7" x14ac:dyDescent="0.25">
      <c r="B1709" s="12"/>
      <c r="C1709" s="12"/>
      <c r="D1709" s="15"/>
      <c r="E1709" s="19"/>
      <c r="F1709" s="19"/>
      <c r="G1709" s="12"/>
    </row>
    <row r="1710" spans="2:7" x14ac:dyDescent="0.25">
      <c r="B1710" s="12"/>
      <c r="C1710" s="12"/>
      <c r="D1710" s="15"/>
      <c r="E1710" s="19"/>
      <c r="F1710" s="19"/>
      <c r="G1710" s="12"/>
    </row>
    <row r="1711" spans="2:7" x14ac:dyDescent="0.25">
      <c r="B1711" s="12"/>
      <c r="C1711" s="12"/>
      <c r="D1711" s="15"/>
      <c r="E1711" s="19"/>
      <c r="F1711" s="19"/>
      <c r="G1711" s="12"/>
    </row>
    <row r="1712" spans="2:7" x14ac:dyDescent="0.25">
      <c r="B1712" s="12"/>
      <c r="C1712" s="12"/>
      <c r="D1712" s="15"/>
      <c r="E1712" s="19"/>
      <c r="F1712" s="19"/>
      <c r="G1712" s="12"/>
    </row>
    <row r="1713" spans="2:7" x14ac:dyDescent="0.25">
      <c r="B1713" s="12"/>
      <c r="C1713" s="12"/>
      <c r="D1713" s="15"/>
      <c r="E1713" s="19"/>
      <c r="F1713" s="19"/>
      <c r="G1713" s="12"/>
    </row>
    <row r="1714" spans="2:7" x14ac:dyDescent="0.25">
      <c r="B1714" s="12"/>
      <c r="C1714" s="12"/>
      <c r="D1714" s="15"/>
      <c r="E1714" s="19"/>
      <c r="F1714" s="19"/>
      <c r="G1714" s="12"/>
    </row>
    <row r="1715" spans="2:7" x14ac:dyDescent="0.25">
      <c r="B1715" s="12"/>
      <c r="C1715" s="12"/>
      <c r="D1715" s="15"/>
      <c r="E1715" s="19"/>
      <c r="F1715" s="19"/>
      <c r="G1715" s="12"/>
    </row>
    <row r="1716" spans="2:7" x14ac:dyDescent="0.25">
      <c r="B1716" s="12"/>
      <c r="C1716" s="12"/>
      <c r="D1716" s="15"/>
      <c r="E1716" s="19"/>
      <c r="F1716" s="19"/>
      <c r="G1716" s="12"/>
    </row>
    <row r="1717" spans="2:7" x14ac:dyDescent="0.25">
      <c r="B1717" s="12"/>
      <c r="C1717" s="12"/>
      <c r="D1717" s="15"/>
      <c r="E1717" s="19"/>
      <c r="F1717" s="19"/>
      <c r="G1717" s="12"/>
    </row>
    <row r="1718" spans="2:7" x14ac:dyDescent="0.25">
      <c r="B1718" s="12"/>
      <c r="C1718" s="12"/>
      <c r="D1718" s="15"/>
      <c r="E1718" s="19"/>
      <c r="F1718" s="19"/>
      <c r="G1718" s="12"/>
    </row>
    <row r="1719" spans="2:7" x14ac:dyDescent="0.25">
      <c r="B1719" s="12"/>
      <c r="C1719" s="12"/>
      <c r="D1719" s="15"/>
      <c r="E1719" s="19"/>
      <c r="F1719" s="19"/>
      <c r="G1719" s="12"/>
    </row>
    <row r="1720" spans="2:7" x14ac:dyDescent="0.25">
      <c r="B1720" s="12"/>
      <c r="C1720" s="12"/>
      <c r="D1720" s="15"/>
      <c r="E1720" s="19"/>
      <c r="F1720" s="19"/>
      <c r="G1720" s="12"/>
    </row>
    <row r="1721" spans="2:7" x14ac:dyDescent="0.25">
      <c r="B1721" s="12"/>
      <c r="C1721" s="12"/>
      <c r="D1721" s="15"/>
      <c r="E1721" s="19"/>
      <c r="F1721" s="19"/>
      <c r="G1721" s="12"/>
    </row>
    <row r="1722" spans="2:7" x14ac:dyDescent="0.25">
      <c r="B1722" s="12"/>
      <c r="C1722" s="12"/>
      <c r="D1722" s="15"/>
      <c r="E1722" s="19"/>
      <c r="F1722" s="19"/>
      <c r="G1722" s="12"/>
    </row>
    <row r="1723" spans="2:7" x14ac:dyDescent="0.25">
      <c r="B1723" s="12"/>
      <c r="C1723" s="12"/>
      <c r="D1723" s="15"/>
      <c r="E1723" s="19"/>
      <c r="F1723" s="19"/>
      <c r="G1723" s="12"/>
    </row>
    <row r="1724" spans="2:7" x14ac:dyDescent="0.25">
      <c r="B1724" s="12"/>
      <c r="C1724" s="12"/>
      <c r="D1724" s="15"/>
      <c r="E1724" s="19"/>
      <c r="F1724" s="19"/>
      <c r="G1724" s="12"/>
    </row>
    <row r="1725" spans="2:7" x14ac:dyDescent="0.25">
      <c r="B1725" s="12"/>
      <c r="C1725" s="12"/>
      <c r="D1725" s="15"/>
      <c r="E1725" s="19"/>
      <c r="F1725" s="19"/>
      <c r="G1725" s="12"/>
    </row>
    <row r="1726" spans="2:7" x14ac:dyDescent="0.25">
      <c r="B1726" s="12"/>
      <c r="C1726" s="12"/>
      <c r="D1726" s="15"/>
      <c r="E1726" s="19"/>
      <c r="F1726" s="19"/>
      <c r="G1726" s="12"/>
    </row>
    <row r="1727" spans="2:7" x14ac:dyDescent="0.25">
      <c r="B1727" s="12"/>
      <c r="C1727" s="12"/>
      <c r="D1727" s="15"/>
      <c r="E1727" s="19"/>
      <c r="F1727" s="19"/>
      <c r="G1727" s="12"/>
    </row>
    <row r="1728" spans="2:7" x14ac:dyDescent="0.25">
      <c r="B1728" s="12"/>
      <c r="C1728" s="12"/>
      <c r="D1728" s="15"/>
      <c r="E1728" s="19"/>
      <c r="F1728" s="19"/>
      <c r="G1728" s="12"/>
    </row>
    <row r="1729" spans="2:7" x14ac:dyDescent="0.25">
      <c r="B1729" s="12"/>
      <c r="C1729" s="12"/>
      <c r="D1729" s="15"/>
      <c r="E1729" s="19"/>
      <c r="F1729" s="19"/>
      <c r="G1729" s="12"/>
    </row>
    <row r="1730" spans="2:7" x14ac:dyDescent="0.25">
      <c r="B1730" s="12"/>
      <c r="C1730" s="12"/>
      <c r="D1730" s="15"/>
      <c r="E1730" s="19"/>
      <c r="F1730" s="19"/>
      <c r="G1730" s="12"/>
    </row>
    <row r="1731" spans="2:7" x14ac:dyDescent="0.25">
      <c r="B1731" s="12"/>
      <c r="C1731" s="12"/>
      <c r="D1731" s="15"/>
      <c r="E1731" s="19"/>
      <c r="F1731" s="19"/>
      <c r="G1731" s="12"/>
    </row>
    <row r="1732" spans="2:7" x14ac:dyDescent="0.25">
      <c r="B1732" s="12"/>
      <c r="C1732" s="12"/>
      <c r="D1732" s="15"/>
      <c r="E1732" s="19"/>
      <c r="F1732" s="19"/>
      <c r="G1732" s="12"/>
    </row>
    <row r="1733" spans="2:7" x14ac:dyDescent="0.25">
      <c r="B1733" s="12"/>
      <c r="C1733" s="12"/>
      <c r="D1733" s="15"/>
      <c r="E1733" s="19"/>
      <c r="F1733" s="19"/>
      <c r="G1733" s="12"/>
    </row>
    <row r="1734" spans="2:7" x14ac:dyDescent="0.25">
      <c r="B1734" s="12"/>
      <c r="C1734" s="12"/>
      <c r="D1734" s="15"/>
      <c r="E1734" s="19"/>
      <c r="F1734" s="19"/>
      <c r="G1734" s="12"/>
    </row>
    <row r="1735" spans="2:7" x14ac:dyDescent="0.25">
      <c r="B1735" s="12"/>
      <c r="C1735" s="12"/>
      <c r="D1735" s="15"/>
      <c r="E1735" s="19"/>
      <c r="F1735" s="19"/>
      <c r="G1735" s="12"/>
    </row>
    <row r="1736" spans="2:7" x14ac:dyDescent="0.25">
      <c r="B1736" s="12"/>
      <c r="C1736" s="12"/>
      <c r="D1736" s="15"/>
      <c r="E1736" s="19"/>
      <c r="F1736" s="19"/>
      <c r="G1736" s="12"/>
    </row>
    <row r="1737" spans="2:7" x14ac:dyDescent="0.25">
      <c r="B1737" s="12"/>
      <c r="C1737" s="12"/>
      <c r="D1737" s="15"/>
      <c r="E1737" s="19"/>
      <c r="F1737" s="19"/>
      <c r="G1737" s="12"/>
    </row>
    <row r="1738" spans="2:7" x14ac:dyDescent="0.25">
      <c r="B1738" s="12"/>
      <c r="C1738" s="12"/>
      <c r="D1738" s="15"/>
      <c r="E1738" s="19"/>
      <c r="F1738" s="19"/>
      <c r="G1738" s="12"/>
    </row>
    <row r="1739" spans="2:7" x14ac:dyDescent="0.25">
      <c r="B1739" s="12"/>
      <c r="C1739" s="12"/>
      <c r="D1739" s="15"/>
      <c r="E1739" s="19"/>
      <c r="F1739" s="19"/>
      <c r="G1739" s="12"/>
    </row>
    <row r="1740" spans="2:7" x14ac:dyDescent="0.25">
      <c r="B1740" s="12"/>
      <c r="C1740" s="12"/>
      <c r="D1740" s="15"/>
      <c r="E1740" s="19"/>
      <c r="F1740" s="19"/>
      <c r="G1740" s="12"/>
    </row>
    <row r="1741" spans="2:7" x14ac:dyDescent="0.25">
      <c r="B1741" s="12"/>
      <c r="C1741" s="12"/>
      <c r="D1741" s="15"/>
      <c r="E1741" s="19"/>
      <c r="F1741" s="19"/>
      <c r="G1741" s="12"/>
    </row>
    <row r="1742" spans="2:7" x14ac:dyDescent="0.25">
      <c r="B1742" s="12"/>
      <c r="C1742" s="12"/>
      <c r="D1742" s="15"/>
      <c r="E1742" s="19"/>
      <c r="F1742" s="19"/>
      <c r="G1742" s="12"/>
    </row>
    <row r="1743" spans="2:7" x14ac:dyDescent="0.25">
      <c r="B1743" s="12"/>
      <c r="C1743" s="12"/>
      <c r="D1743" s="15"/>
      <c r="E1743" s="19"/>
      <c r="F1743" s="19"/>
      <c r="G1743" s="12"/>
    </row>
    <row r="1744" spans="2:7" x14ac:dyDescent="0.25">
      <c r="B1744" s="12"/>
      <c r="C1744" s="12"/>
      <c r="D1744" s="15"/>
      <c r="E1744" s="19"/>
      <c r="F1744" s="19"/>
      <c r="G1744" s="12"/>
    </row>
    <row r="1745" spans="2:7" x14ac:dyDescent="0.25">
      <c r="B1745" s="12"/>
      <c r="C1745" s="12"/>
      <c r="D1745" s="15"/>
      <c r="E1745" s="19"/>
      <c r="F1745" s="19"/>
      <c r="G1745" s="12"/>
    </row>
    <row r="1746" spans="2:7" x14ac:dyDescent="0.25">
      <c r="B1746" s="12"/>
      <c r="C1746" s="12"/>
      <c r="D1746" s="15"/>
      <c r="E1746" s="19"/>
      <c r="F1746" s="19"/>
      <c r="G1746" s="12"/>
    </row>
    <row r="1747" spans="2:7" x14ac:dyDescent="0.25">
      <c r="B1747" s="12"/>
      <c r="C1747" s="12"/>
      <c r="D1747" s="15"/>
      <c r="E1747" s="19"/>
      <c r="F1747" s="19"/>
      <c r="G1747" s="12"/>
    </row>
    <row r="1748" spans="2:7" x14ac:dyDescent="0.25">
      <c r="B1748" s="12"/>
      <c r="C1748" s="12"/>
      <c r="D1748" s="15"/>
      <c r="E1748" s="19"/>
      <c r="F1748" s="19"/>
      <c r="G1748" s="12"/>
    </row>
    <row r="1749" spans="2:7" x14ac:dyDescent="0.25">
      <c r="B1749" s="12"/>
      <c r="C1749" s="12"/>
      <c r="D1749" s="15"/>
      <c r="E1749" s="19"/>
      <c r="F1749" s="19"/>
      <c r="G1749" s="12"/>
    </row>
    <row r="1750" spans="2:7" x14ac:dyDescent="0.25">
      <c r="B1750" s="12"/>
      <c r="C1750" s="12"/>
      <c r="D1750" s="15"/>
      <c r="E1750" s="19"/>
      <c r="F1750" s="19"/>
      <c r="G1750" s="12"/>
    </row>
    <row r="1751" spans="2:7" x14ac:dyDescent="0.25">
      <c r="B1751" s="12"/>
      <c r="C1751" s="12"/>
      <c r="D1751" s="15"/>
      <c r="E1751" s="19"/>
      <c r="F1751" s="19"/>
      <c r="G1751" s="12"/>
    </row>
    <row r="1752" spans="2:7" x14ac:dyDescent="0.25">
      <c r="B1752" s="12"/>
      <c r="C1752" s="12"/>
      <c r="D1752" s="15"/>
      <c r="E1752" s="19"/>
      <c r="F1752" s="19"/>
      <c r="G1752" s="12"/>
    </row>
    <row r="1753" spans="2:7" x14ac:dyDescent="0.25">
      <c r="B1753" s="12"/>
      <c r="C1753" s="12"/>
      <c r="D1753" s="15"/>
      <c r="E1753" s="19"/>
      <c r="F1753" s="19"/>
      <c r="G1753" s="12"/>
    </row>
    <row r="1754" spans="2:7" x14ac:dyDescent="0.25">
      <c r="B1754" s="12"/>
      <c r="C1754" s="12"/>
      <c r="D1754" s="15"/>
      <c r="E1754" s="19"/>
      <c r="F1754" s="19"/>
      <c r="G1754" s="12"/>
    </row>
    <row r="1755" spans="2:7" x14ac:dyDescent="0.25">
      <c r="B1755" s="12"/>
      <c r="C1755" s="12"/>
      <c r="D1755" s="15"/>
      <c r="E1755" s="19"/>
      <c r="F1755" s="19"/>
      <c r="G1755" s="12"/>
    </row>
    <row r="1756" spans="2:7" x14ac:dyDescent="0.25">
      <c r="B1756" s="12"/>
      <c r="C1756" s="12"/>
      <c r="D1756" s="15"/>
      <c r="E1756" s="19"/>
      <c r="F1756" s="19"/>
      <c r="G1756" s="12"/>
    </row>
    <row r="1757" spans="2:7" x14ac:dyDescent="0.25">
      <c r="B1757" s="12"/>
      <c r="C1757" s="12"/>
      <c r="D1757" s="15"/>
      <c r="E1757" s="19"/>
      <c r="F1757" s="19"/>
      <c r="G1757" s="12"/>
    </row>
    <row r="1758" spans="2:7" x14ac:dyDescent="0.25">
      <c r="B1758" s="12"/>
      <c r="C1758" s="12"/>
      <c r="D1758" s="15"/>
      <c r="E1758" s="19"/>
      <c r="F1758" s="19"/>
      <c r="G1758" s="12"/>
    </row>
    <row r="1759" spans="2:7" x14ac:dyDescent="0.25">
      <c r="B1759" s="12"/>
      <c r="C1759" s="12"/>
      <c r="D1759" s="15"/>
      <c r="E1759" s="19"/>
      <c r="F1759" s="19"/>
      <c r="G1759" s="12"/>
    </row>
    <row r="1760" spans="2:7" x14ac:dyDescent="0.25">
      <c r="B1760" s="12"/>
      <c r="C1760" s="12"/>
      <c r="D1760" s="15"/>
      <c r="E1760" s="19"/>
      <c r="F1760" s="19"/>
      <c r="G1760" s="12"/>
    </row>
    <row r="1761" spans="2:7" x14ac:dyDescent="0.25">
      <c r="B1761" s="12"/>
      <c r="C1761" s="12"/>
      <c r="D1761" s="15"/>
      <c r="E1761" s="19"/>
      <c r="F1761" s="19"/>
      <c r="G1761" s="12"/>
    </row>
    <row r="1762" spans="2:7" x14ac:dyDescent="0.25">
      <c r="B1762" s="12"/>
      <c r="C1762" s="12"/>
      <c r="D1762" s="15"/>
      <c r="E1762" s="19"/>
      <c r="F1762" s="19"/>
      <c r="G1762" s="12"/>
    </row>
    <row r="1763" spans="2:7" x14ac:dyDescent="0.25">
      <c r="B1763" s="12"/>
      <c r="C1763" s="12"/>
      <c r="D1763" s="15"/>
      <c r="E1763" s="19"/>
      <c r="F1763" s="19"/>
      <c r="G1763" s="12"/>
    </row>
    <row r="1764" spans="2:7" x14ac:dyDescent="0.25">
      <c r="B1764" s="12"/>
      <c r="C1764" s="12"/>
      <c r="D1764" s="15"/>
      <c r="E1764" s="19"/>
      <c r="F1764" s="19"/>
      <c r="G1764" s="12"/>
    </row>
    <row r="1765" spans="2:7" x14ac:dyDescent="0.25">
      <c r="B1765" s="12"/>
      <c r="C1765" s="12"/>
      <c r="D1765" s="15"/>
      <c r="E1765" s="19"/>
      <c r="F1765" s="19"/>
      <c r="G1765" s="12"/>
    </row>
    <row r="1766" spans="2:7" x14ac:dyDescent="0.25">
      <c r="B1766" s="12"/>
      <c r="C1766" s="12"/>
      <c r="D1766" s="15"/>
      <c r="E1766" s="19"/>
      <c r="F1766" s="19"/>
      <c r="G1766" s="12"/>
    </row>
    <row r="1767" spans="2:7" x14ac:dyDescent="0.25">
      <c r="B1767" s="12"/>
      <c r="C1767" s="12"/>
      <c r="D1767" s="15"/>
      <c r="E1767" s="19"/>
      <c r="F1767" s="19"/>
      <c r="G1767" s="12"/>
    </row>
    <row r="1768" spans="2:7" x14ac:dyDescent="0.25">
      <c r="B1768" s="12"/>
      <c r="C1768" s="12"/>
      <c r="D1768" s="15"/>
      <c r="E1768" s="19"/>
      <c r="F1768" s="19"/>
      <c r="G1768" s="12"/>
    </row>
    <row r="1769" spans="2:7" x14ac:dyDescent="0.25">
      <c r="B1769" s="12"/>
      <c r="C1769" s="12"/>
      <c r="D1769" s="15"/>
      <c r="E1769" s="19"/>
      <c r="F1769" s="19"/>
      <c r="G1769" s="12"/>
    </row>
    <row r="1770" spans="2:7" x14ac:dyDescent="0.25">
      <c r="B1770" s="12"/>
      <c r="C1770" s="12"/>
      <c r="D1770" s="15"/>
      <c r="E1770" s="19"/>
      <c r="F1770" s="19"/>
      <c r="G1770" s="12"/>
    </row>
    <row r="1771" spans="2:7" x14ac:dyDescent="0.25">
      <c r="B1771" s="12"/>
      <c r="C1771" s="12"/>
      <c r="D1771" s="15"/>
      <c r="E1771" s="19"/>
      <c r="F1771" s="19"/>
      <c r="G1771" s="12"/>
    </row>
    <row r="1772" spans="2:7" x14ac:dyDescent="0.25">
      <c r="B1772" s="12"/>
      <c r="C1772" s="12"/>
      <c r="D1772" s="15"/>
      <c r="E1772" s="19"/>
      <c r="F1772" s="19"/>
      <c r="G1772" s="12"/>
    </row>
    <row r="1773" spans="2:7" x14ac:dyDescent="0.25">
      <c r="B1773" s="12"/>
      <c r="C1773" s="12"/>
      <c r="D1773" s="15"/>
      <c r="E1773" s="19"/>
      <c r="F1773" s="19"/>
      <c r="G1773" s="12"/>
    </row>
    <row r="1774" spans="2:7" x14ac:dyDescent="0.25">
      <c r="B1774" s="12"/>
      <c r="C1774" s="12"/>
      <c r="D1774" s="15"/>
      <c r="E1774" s="19"/>
      <c r="F1774" s="19"/>
      <c r="G1774" s="12"/>
    </row>
    <row r="1775" spans="2:7" x14ac:dyDescent="0.25">
      <c r="B1775" s="12"/>
      <c r="C1775" s="12"/>
      <c r="D1775" s="15"/>
      <c r="E1775" s="19"/>
      <c r="F1775" s="19"/>
      <c r="G1775" s="12"/>
    </row>
    <row r="1776" spans="2:7" x14ac:dyDescent="0.25">
      <c r="B1776" s="12"/>
      <c r="C1776" s="12"/>
      <c r="D1776" s="15"/>
      <c r="E1776" s="19"/>
      <c r="F1776" s="19"/>
      <c r="G1776" s="12"/>
    </row>
    <row r="1777" spans="2:7" x14ac:dyDescent="0.25">
      <c r="B1777" s="12"/>
      <c r="C1777" s="12"/>
      <c r="D1777" s="15"/>
      <c r="E1777" s="19"/>
      <c r="F1777" s="19"/>
      <c r="G1777" s="12"/>
    </row>
    <row r="1778" spans="2:7" x14ac:dyDescent="0.25">
      <c r="B1778" s="12"/>
      <c r="C1778" s="12"/>
      <c r="D1778" s="15"/>
      <c r="E1778" s="19"/>
      <c r="F1778" s="19"/>
      <c r="G1778" s="12"/>
    </row>
    <row r="1779" spans="2:7" x14ac:dyDescent="0.25">
      <c r="B1779" s="12"/>
      <c r="C1779" s="12"/>
      <c r="D1779" s="15"/>
      <c r="E1779" s="19"/>
      <c r="F1779" s="19"/>
      <c r="G1779" s="12"/>
    </row>
    <row r="1780" spans="2:7" x14ac:dyDescent="0.25">
      <c r="B1780" s="12"/>
      <c r="C1780" s="12"/>
      <c r="D1780" s="15"/>
      <c r="E1780" s="19"/>
      <c r="F1780" s="19"/>
      <c r="G1780" s="12"/>
    </row>
    <row r="1781" spans="2:7" x14ac:dyDescent="0.25">
      <c r="B1781" s="12"/>
      <c r="C1781" s="12"/>
      <c r="D1781" s="15"/>
      <c r="E1781" s="19"/>
      <c r="F1781" s="19"/>
      <c r="G1781" s="12"/>
    </row>
    <row r="1782" spans="2:7" x14ac:dyDescent="0.25">
      <c r="B1782" s="12"/>
      <c r="C1782" s="12"/>
      <c r="D1782" s="15"/>
      <c r="E1782" s="19"/>
      <c r="F1782" s="19"/>
      <c r="G1782" s="12"/>
    </row>
    <row r="1783" spans="2:7" x14ac:dyDescent="0.25">
      <c r="B1783" s="12"/>
      <c r="C1783" s="12"/>
      <c r="D1783" s="15"/>
      <c r="E1783" s="19"/>
      <c r="F1783" s="19"/>
      <c r="G1783" s="12"/>
    </row>
    <row r="1784" spans="2:7" x14ac:dyDescent="0.25">
      <c r="B1784" s="12"/>
      <c r="C1784" s="12"/>
      <c r="D1784" s="15"/>
      <c r="E1784" s="19"/>
      <c r="F1784" s="19"/>
      <c r="G1784" s="12"/>
    </row>
    <row r="1785" spans="2:7" x14ac:dyDescent="0.25">
      <c r="B1785" s="12"/>
      <c r="C1785" s="12"/>
      <c r="D1785" s="15"/>
      <c r="E1785" s="19"/>
      <c r="F1785" s="19"/>
      <c r="G1785" s="12"/>
    </row>
    <row r="1786" spans="2:7" x14ac:dyDescent="0.25">
      <c r="B1786" s="12"/>
      <c r="C1786" s="12"/>
      <c r="D1786" s="15"/>
      <c r="E1786" s="19"/>
      <c r="F1786" s="19"/>
      <c r="G1786" s="12"/>
    </row>
    <row r="1787" spans="2:7" x14ac:dyDescent="0.25">
      <c r="B1787" s="12"/>
      <c r="C1787" s="12"/>
      <c r="D1787" s="15"/>
      <c r="E1787" s="19"/>
      <c r="F1787" s="19"/>
      <c r="G1787" s="12"/>
    </row>
    <row r="1788" spans="2:7" x14ac:dyDescent="0.25">
      <c r="B1788" s="12"/>
      <c r="C1788" s="12"/>
      <c r="D1788" s="15"/>
      <c r="E1788" s="19"/>
      <c r="F1788" s="19"/>
      <c r="G1788" s="12"/>
    </row>
    <row r="1789" spans="2:7" x14ac:dyDescent="0.25">
      <c r="B1789" s="12"/>
      <c r="C1789" s="12"/>
      <c r="D1789" s="15"/>
      <c r="E1789" s="19"/>
      <c r="F1789" s="19"/>
      <c r="G1789" s="12"/>
    </row>
    <row r="1790" spans="2:7" x14ac:dyDescent="0.25">
      <c r="B1790" s="12"/>
      <c r="C1790" s="12"/>
      <c r="D1790" s="15"/>
      <c r="E1790" s="19"/>
      <c r="F1790" s="19"/>
      <c r="G1790" s="12"/>
    </row>
    <row r="1791" spans="2:7" x14ac:dyDescent="0.25">
      <c r="B1791" s="12"/>
      <c r="C1791" s="12"/>
      <c r="D1791" s="15"/>
      <c r="E1791" s="19"/>
      <c r="F1791" s="19"/>
      <c r="G1791" s="12"/>
    </row>
    <row r="1792" spans="2:7" x14ac:dyDescent="0.25">
      <c r="B1792" s="12"/>
      <c r="C1792" s="12"/>
      <c r="D1792" s="15"/>
      <c r="E1792" s="19"/>
      <c r="F1792" s="19"/>
      <c r="G1792" s="12"/>
    </row>
    <row r="1793" spans="2:7" x14ac:dyDescent="0.25">
      <c r="B1793" s="12"/>
      <c r="C1793" s="12"/>
      <c r="D1793" s="15"/>
      <c r="E1793" s="19"/>
      <c r="F1793" s="19"/>
      <c r="G1793" s="12"/>
    </row>
    <row r="1794" spans="2:7" x14ac:dyDescent="0.25">
      <c r="B1794" s="12"/>
      <c r="C1794" s="12"/>
      <c r="D1794" s="15"/>
      <c r="E1794" s="19"/>
      <c r="F1794" s="19"/>
      <c r="G1794" s="12"/>
    </row>
    <row r="1795" spans="2:7" x14ac:dyDescent="0.25">
      <c r="B1795" s="12"/>
      <c r="C1795" s="12"/>
      <c r="D1795" s="15"/>
      <c r="E1795" s="19"/>
      <c r="F1795" s="19"/>
      <c r="G1795" s="12"/>
    </row>
    <row r="1796" spans="2:7" x14ac:dyDescent="0.25">
      <c r="B1796" s="12"/>
      <c r="C1796" s="12"/>
      <c r="D1796" s="15"/>
      <c r="E1796" s="19"/>
      <c r="F1796" s="19"/>
      <c r="G1796" s="12"/>
    </row>
    <row r="1797" spans="2:7" x14ac:dyDescent="0.25">
      <c r="B1797" s="12"/>
      <c r="C1797" s="12"/>
      <c r="D1797" s="15"/>
      <c r="E1797" s="19"/>
      <c r="F1797" s="19"/>
      <c r="G1797" s="12"/>
    </row>
    <row r="1798" spans="2:7" x14ac:dyDescent="0.25">
      <c r="B1798" s="12"/>
      <c r="C1798" s="12"/>
      <c r="D1798" s="15"/>
      <c r="E1798" s="19"/>
      <c r="F1798" s="19"/>
      <c r="G1798" s="12"/>
    </row>
    <row r="1799" spans="2:7" x14ac:dyDescent="0.25">
      <c r="B1799" s="12"/>
      <c r="C1799" s="12"/>
      <c r="D1799" s="15"/>
      <c r="E1799" s="19"/>
      <c r="F1799" s="19"/>
      <c r="G1799" s="12"/>
    </row>
    <row r="1800" spans="2:7" x14ac:dyDescent="0.25">
      <c r="B1800" s="12"/>
      <c r="C1800" s="12"/>
      <c r="D1800" s="15"/>
      <c r="E1800" s="19"/>
      <c r="F1800" s="19"/>
      <c r="G1800" s="12"/>
    </row>
    <row r="1801" spans="2:7" x14ac:dyDescent="0.25">
      <c r="B1801" s="12"/>
      <c r="C1801" s="12"/>
      <c r="D1801" s="15"/>
      <c r="E1801" s="19"/>
      <c r="F1801" s="19"/>
      <c r="G1801" s="12"/>
    </row>
    <row r="1802" spans="2:7" x14ac:dyDescent="0.25">
      <c r="B1802" s="12"/>
      <c r="C1802" s="12"/>
      <c r="D1802" s="15"/>
      <c r="E1802" s="19"/>
      <c r="F1802" s="19"/>
      <c r="G1802" s="12"/>
    </row>
    <row r="1803" spans="2:7" x14ac:dyDescent="0.25">
      <c r="B1803" s="12"/>
      <c r="C1803" s="12"/>
      <c r="D1803" s="15"/>
      <c r="E1803" s="19"/>
      <c r="F1803" s="19"/>
      <c r="G1803" s="12"/>
    </row>
    <row r="1804" spans="2:7" x14ac:dyDescent="0.25">
      <c r="B1804" s="12"/>
      <c r="C1804" s="12"/>
      <c r="D1804" s="15"/>
      <c r="E1804" s="19"/>
      <c r="F1804" s="19"/>
      <c r="G1804" s="12"/>
    </row>
    <row r="1805" spans="2:7" x14ac:dyDescent="0.25">
      <c r="B1805" s="12"/>
      <c r="C1805" s="12"/>
      <c r="D1805" s="15"/>
      <c r="E1805" s="19"/>
      <c r="F1805" s="19"/>
      <c r="G1805" s="12"/>
    </row>
    <row r="1806" spans="2:7" x14ac:dyDescent="0.25">
      <c r="B1806" s="12"/>
      <c r="C1806" s="12"/>
      <c r="D1806" s="15"/>
      <c r="E1806" s="19"/>
      <c r="F1806" s="19"/>
      <c r="G1806" s="12"/>
    </row>
    <row r="1807" spans="2:7" x14ac:dyDescent="0.25">
      <c r="B1807" s="12"/>
      <c r="C1807" s="12"/>
      <c r="D1807" s="15"/>
      <c r="E1807" s="19"/>
      <c r="F1807" s="19"/>
      <c r="G1807" s="12"/>
    </row>
    <row r="1808" spans="2:7" x14ac:dyDescent="0.25">
      <c r="B1808" s="12"/>
      <c r="C1808" s="12"/>
      <c r="D1808" s="15"/>
      <c r="E1808" s="19"/>
      <c r="F1808" s="19"/>
      <c r="G1808" s="12"/>
    </row>
    <row r="1809" spans="2:7" x14ac:dyDescent="0.25">
      <c r="B1809" s="12"/>
      <c r="C1809" s="12"/>
      <c r="D1809" s="15"/>
      <c r="E1809" s="19"/>
      <c r="F1809" s="19"/>
      <c r="G1809" s="12"/>
    </row>
    <row r="1810" spans="2:7" x14ac:dyDescent="0.25">
      <c r="B1810" s="12"/>
      <c r="C1810" s="12"/>
      <c r="D1810" s="15"/>
      <c r="E1810" s="19"/>
      <c r="F1810" s="19"/>
      <c r="G1810" s="12"/>
    </row>
    <row r="1811" spans="2:7" x14ac:dyDescent="0.25">
      <c r="B1811" s="12"/>
      <c r="C1811" s="12"/>
      <c r="D1811" s="15"/>
      <c r="E1811" s="19"/>
      <c r="F1811" s="19"/>
      <c r="G1811" s="12"/>
    </row>
    <row r="1812" spans="2:7" x14ac:dyDescent="0.25">
      <c r="B1812" s="12"/>
      <c r="C1812" s="12"/>
      <c r="D1812" s="15"/>
      <c r="E1812" s="19"/>
      <c r="F1812" s="19"/>
      <c r="G1812" s="12"/>
    </row>
    <row r="1813" spans="2:7" x14ac:dyDescent="0.25">
      <c r="B1813" s="12"/>
      <c r="C1813" s="12"/>
      <c r="D1813" s="15"/>
      <c r="E1813" s="19"/>
      <c r="F1813" s="19"/>
      <c r="G1813" s="12"/>
    </row>
    <row r="1814" spans="2:7" x14ac:dyDescent="0.25">
      <c r="B1814" s="12"/>
      <c r="C1814" s="12"/>
      <c r="D1814" s="15"/>
      <c r="E1814" s="19"/>
      <c r="F1814" s="19"/>
      <c r="G1814" s="12"/>
    </row>
    <row r="1815" spans="2:7" x14ac:dyDescent="0.25">
      <c r="B1815" s="12"/>
      <c r="C1815" s="12"/>
      <c r="D1815" s="15"/>
      <c r="E1815" s="19"/>
      <c r="F1815" s="19"/>
      <c r="G1815" s="12"/>
    </row>
    <row r="1816" spans="2:7" x14ac:dyDescent="0.25">
      <c r="B1816" s="12"/>
      <c r="C1816" s="12"/>
      <c r="D1816" s="15"/>
      <c r="E1816" s="19"/>
      <c r="F1816" s="19"/>
      <c r="G1816" s="12"/>
    </row>
    <row r="1817" spans="2:7" x14ac:dyDescent="0.25">
      <c r="B1817" s="12"/>
      <c r="C1817" s="12"/>
      <c r="D1817" s="15"/>
      <c r="E1817" s="19"/>
      <c r="F1817" s="19"/>
      <c r="G1817" s="12"/>
    </row>
    <row r="1818" spans="2:7" x14ac:dyDescent="0.25">
      <c r="B1818" s="12"/>
      <c r="C1818" s="12"/>
      <c r="D1818" s="15"/>
      <c r="E1818" s="19"/>
      <c r="F1818" s="19"/>
      <c r="G1818" s="12"/>
    </row>
    <row r="1819" spans="2:7" x14ac:dyDescent="0.25">
      <c r="B1819" s="12"/>
      <c r="C1819" s="12"/>
      <c r="D1819" s="15"/>
      <c r="E1819" s="19"/>
      <c r="F1819" s="19"/>
      <c r="G1819" s="12"/>
    </row>
    <row r="1820" spans="2:7" x14ac:dyDescent="0.25">
      <c r="B1820" s="12"/>
      <c r="C1820" s="12"/>
      <c r="D1820" s="15"/>
      <c r="E1820" s="19"/>
      <c r="F1820" s="19"/>
      <c r="G1820" s="12"/>
    </row>
    <row r="1821" spans="2:7" x14ac:dyDescent="0.25">
      <c r="B1821" s="12"/>
      <c r="C1821" s="12"/>
      <c r="D1821" s="15"/>
      <c r="E1821" s="19"/>
      <c r="F1821" s="19"/>
      <c r="G1821" s="12"/>
    </row>
    <row r="1822" spans="2:7" x14ac:dyDescent="0.25">
      <c r="B1822" s="12"/>
      <c r="C1822" s="12"/>
      <c r="D1822" s="15"/>
      <c r="E1822" s="19"/>
      <c r="F1822" s="19"/>
      <c r="G1822" s="12"/>
    </row>
    <row r="1823" spans="2:7" x14ac:dyDescent="0.25">
      <c r="B1823" s="12"/>
      <c r="C1823" s="12"/>
      <c r="D1823" s="15"/>
      <c r="E1823" s="19"/>
      <c r="F1823" s="19"/>
      <c r="G1823" s="12"/>
    </row>
    <row r="1824" spans="2:7" x14ac:dyDescent="0.25">
      <c r="B1824" s="12"/>
      <c r="C1824" s="12"/>
      <c r="D1824" s="15"/>
      <c r="E1824" s="19"/>
      <c r="F1824" s="19"/>
      <c r="G1824" s="12"/>
    </row>
    <row r="1825" spans="2:7" x14ac:dyDescent="0.25">
      <c r="B1825" s="12"/>
      <c r="C1825" s="12"/>
      <c r="D1825" s="15"/>
      <c r="E1825" s="19"/>
      <c r="F1825" s="19"/>
      <c r="G1825" s="12"/>
    </row>
    <row r="1826" spans="2:7" x14ac:dyDescent="0.25">
      <c r="B1826" s="12"/>
      <c r="C1826" s="12"/>
      <c r="D1826" s="15"/>
      <c r="E1826" s="19"/>
      <c r="F1826" s="19"/>
      <c r="G1826" s="12"/>
    </row>
    <row r="1827" spans="2:7" x14ac:dyDescent="0.25">
      <c r="B1827" s="12"/>
      <c r="C1827" s="12"/>
      <c r="D1827" s="15"/>
      <c r="E1827" s="19"/>
      <c r="F1827" s="19"/>
      <c r="G1827" s="12"/>
    </row>
    <row r="1828" spans="2:7" x14ac:dyDescent="0.25">
      <c r="B1828" s="12"/>
      <c r="C1828" s="12"/>
      <c r="D1828" s="15"/>
      <c r="E1828" s="19"/>
      <c r="F1828" s="19"/>
      <c r="G1828" s="12"/>
    </row>
    <row r="1829" spans="2:7" x14ac:dyDescent="0.25">
      <c r="B1829" s="12"/>
      <c r="C1829" s="12"/>
      <c r="D1829" s="15"/>
      <c r="E1829" s="19"/>
      <c r="F1829" s="19"/>
      <c r="G1829" s="12"/>
    </row>
    <row r="1830" spans="2:7" x14ac:dyDescent="0.25">
      <c r="B1830" s="12"/>
      <c r="C1830" s="12"/>
      <c r="D1830" s="15"/>
      <c r="E1830" s="19"/>
      <c r="F1830" s="19"/>
      <c r="G1830" s="12"/>
    </row>
    <row r="1831" spans="2:7" x14ac:dyDescent="0.25">
      <c r="B1831" s="12"/>
      <c r="C1831" s="12"/>
      <c r="D1831" s="15"/>
      <c r="E1831" s="19"/>
      <c r="F1831" s="19"/>
      <c r="G1831" s="12"/>
    </row>
    <row r="1832" spans="2:7" x14ac:dyDescent="0.25">
      <c r="B1832" s="12"/>
      <c r="C1832" s="12"/>
      <c r="D1832" s="15"/>
      <c r="E1832" s="19"/>
      <c r="F1832" s="19"/>
      <c r="G1832" s="12"/>
    </row>
    <row r="1833" spans="2:7" x14ac:dyDescent="0.25">
      <c r="B1833" s="12"/>
      <c r="C1833" s="12"/>
      <c r="D1833" s="15"/>
      <c r="E1833" s="19"/>
      <c r="F1833" s="19"/>
      <c r="G1833" s="12"/>
    </row>
    <row r="1834" spans="2:7" x14ac:dyDescent="0.25">
      <c r="B1834" s="12"/>
      <c r="C1834" s="12"/>
      <c r="D1834" s="15"/>
      <c r="E1834" s="19"/>
      <c r="F1834" s="19"/>
      <c r="G1834" s="12"/>
    </row>
    <row r="1835" spans="2:7" x14ac:dyDescent="0.25">
      <c r="B1835" s="12"/>
      <c r="C1835" s="12"/>
      <c r="D1835" s="15"/>
      <c r="E1835" s="19"/>
      <c r="F1835" s="19"/>
      <c r="G1835" s="12"/>
    </row>
    <row r="1836" spans="2:7" x14ac:dyDescent="0.25">
      <c r="B1836" s="12"/>
      <c r="C1836" s="12"/>
      <c r="D1836" s="15"/>
      <c r="E1836" s="19"/>
      <c r="F1836" s="19"/>
      <c r="G1836" s="12"/>
    </row>
    <row r="1837" spans="2:7" x14ac:dyDescent="0.25">
      <c r="B1837" s="12"/>
      <c r="C1837" s="12"/>
      <c r="D1837" s="15"/>
      <c r="E1837" s="19"/>
      <c r="F1837" s="19"/>
      <c r="G1837" s="12"/>
    </row>
    <row r="1838" spans="2:7" x14ac:dyDescent="0.25">
      <c r="B1838" s="12"/>
      <c r="C1838" s="12"/>
      <c r="D1838" s="15"/>
      <c r="E1838" s="19"/>
      <c r="F1838" s="19"/>
      <c r="G1838" s="12"/>
    </row>
    <row r="1839" spans="2:7" x14ac:dyDescent="0.25">
      <c r="B1839" s="12"/>
      <c r="C1839" s="12"/>
      <c r="D1839" s="15"/>
      <c r="E1839" s="19"/>
      <c r="F1839" s="19"/>
      <c r="G1839" s="12"/>
    </row>
    <row r="1840" spans="2:7" x14ac:dyDescent="0.25">
      <c r="B1840" s="12"/>
      <c r="C1840" s="12"/>
      <c r="D1840" s="15"/>
      <c r="E1840" s="19"/>
      <c r="F1840" s="19"/>
      <c r="G1840" s="12"/>
    </row>
    <row r="1841" spans="2:7" x14ac:dyDescent="0.25">
      <c r="B1841" s="12"/>
      <c r="C1841" s="12"/>
      <c r="D1841" s="15"/>
      <c r="E1841" s="19"/>
      <c r="F1841" s="19"/>
      <c r="G1841" s="12"/>
    </row>
    <row r="1842" spans="2:7" x14ac:dyDescent="0.25">
      <c r="B1842" s="12"/>
      <c r="C1842" s="12"/>
      <c r="D1842" s="15"/>
      <c r="E1842" s="19"/>
      <c r="F1842" s="19"/>
      <c r="G1842" s="12"/>
    </row>
    <row r="1843" spans="2:7" x14ac:dyDescent="0.25">
      <c r="B1843" s="12"/>
      <c r="C1843" s="12"/>
      <c r="D1843" s="15"/>
      <c r="E1843" s="19"/>
      <c r="F1843" s="19"/>
      <c r="G1843" s="12"/>
    </row>
    <row r="1844" spans="2:7" x14ac:dyDescent="0.25">
      <c r="B1844" s="12"/>
      <c r="C1844" s="12"/>
      <c r="D1844" s="15"/>
      <c r="E1844" s="19"/>
      <c r="F1844" s="19"/>
      <c r="G1844" s="12"/>
    </row>
    <row r="1845" spans="2:7" x14ac:dyDescent="0.25">
      <c r="B1845" s="12"/>
      <c r="C1845" s="12"/>
      <c r="D1845" s="15"/>
      <c r="E1845" s="19"/>
      <c r="F1845" s="19"/>
      <c r="G1845" s="12"/>
    </row>
    <row r="1846" spans="2:7" x14ac:dyDescent="0.25">
      <c r="B1846" s="12"/>
      <c r="C1846" s="12"/>
      <c r="D1846" s="15"/>
      <c r="E1846" s="19"/>
      <c r="F1846" s="19"/>
      <c r="G1846" s="12"/>
    </row>
    <row r="1847" spans="2:7" x14ac:dyDescent="0.25">
      <c r="B1847" s="12"/>
      <c r="C1847" s="12"/>
      <c r="D1847" s="15"/>
      <c r="E1847" s="19"/>
      <c r="F1847" s="19"/>
      <c r="G1847" s="12"/>
    </row>
    <row r="1848" spans="2:7" x14ac:dyDescent="0.25">
      <c r="B1848" s="12"/>
      <c r="C1848" s="12"/>
      <c r="D1848" s="15"/>
      <c r="E1848" s="19"/>
      <c r="F1848" s="19"/>
      <c r="G1848" s="12"/>
    </row>
    <row r="1849" spans="2:7" x14ac:dyDescent="0.25">
      <c r="B1849" s="12"/>
      <c r="C1849" s="12"/>
      <c r="D1849" s="15"/>
      <c r="E1849" s="19"/>
      <c r="F1849" s="19"/>
      <c r="G1849" s="12"/>
    </row>
    <row r="1850" spans="2:7" x14ac:dyDescent="0.25">
      <c r="B1850" s="12"/>
      <c r="C1850" s="12"/>
      <c r="D1850" s="15"/>
      <c r="E1850" s="19"/>
      <c r="F1850" s="19"/>
      <c r="G1850" s="12"/>
    </row>
    <row r="1851" spans="2:7" x14ac:dyDescent="0.25">
      <c r="B1851" s="12"/>
      <c r="C1851" s="12"/>
      <c r="D1851" s="15"/>
      <c r="E1851" s="19"/>
      <c r="F1851" s="19"/>
      <c r="G1851" s="12"/>
    </row>
    <row r="1852" spans="2:7" x14ac:dyDescent="0.25">
      <c r="B1852" s="12"/>
      <c r="C1852" s="12"/>
      <c r="D1852" s="15"/>
      <c r="E1852" s="19"/>
      <c r="F1852" s="19"/>
      <c r="G1852" s="12"/>
    </row>
    <row r="1853" spans="2:7" x14ac:dyDescent="0.25">
      <c r="B1853" s="12"/>
      <c r="C1853" s="12"/>
      <c r="D1853" s="15"/>
      <c r="E1853" s="19"/>
      <c r="F1853" s="19"/>
      <c r="G1853" s="12"/>
    </row>
    <row r="1854" spans="2:7" x14ac:dyDescent="0.25">
      <c r="B1854" s="12"/>
      <c r="C1854" s="12"/>
      <c r="D1854" s="15"/>
      <c r="E1854" s="19"/>
      <c r="F1854" s="19"/>
      <c r="G1854" s="12"/>
    </row>
    <row r="1855" spans="2:7" x14ac:dyDescent="0.25">
      <c r="B1855" s="12"/>
      <c r="C1855" s="12"/>
      <c r="D1855" s="15"/>
      <c r="E1855" s="19"/>
      <c r="F1855" s="19"/>
      <c r="G1855" s="12"/>
    </row>
    <row r="1856" spans="2:7" x14ac:dyDescent="0.25">
      <c r="B1856" s="12"/>
      <c r="C1856" s="12"/>
      <c r="D1856" s="15"/>
      <c r="E1856" s="19"/>
      <c r="F1856" s="19"/>
      <c r="G1856" s="12"/>
    </row>
    <row r="1857" spans="2:7" x14ac:dyDescent="0.25">
      <c r="B1857" s="12"/>
      <c r="C1857" s="12"/>
      <c r="D1857" s="15"/>
      <c r="E1857" s="19"/>
      <c r="F1857" s="19"/>
      <c r="G1857" s="12"/>
    </row>
    <row r="1858" spans="2:7" x14ac:dyDescent="0.25">
      <c r="B1858" s="12"/>
      <c r="C1858" s="12"/>
      <c r="D1858" s="15"/>
      <c r="E1858" s="19"/>
      <c r="F1858" s="19"/>
      <c r="G1858" s="12"/>
    </row>
    <row r="1859" spans="2:7" x14ac:dyDescent="0.25">
      <c r="B1859" s="12"/>
      <c r="C1859" s="12"/>
      <c r="D1859" s="15"/>
      <c r="E1859" s="19"/>
      <c r="F1859" s="19"/>
      <c r="G1859" s="12"/>
    </row>
    <row r="1860" spans="2:7" x14ac:dyDescent="0.25">
      <c r="B1860" s="12"/>
      <c r="C1860" s="12"/>
      <c r="D1860" s="15"/>
      <c r="E1860" s="19"/>
      <c r="F1860" s="19"/>
      <c r="G1860" s="12"/>
    </row>
    <row r="1861" spans="2:7" x14ac:dyDescent="0.25">
      <c r="B1861" s="12"/>
      <c r="C1861" s="12"/>
      <c r="D1861" s="15"/>
      <c r="E1861" s="19"/>
      <c r="F1861" s="19"/>
      <c r="G1861" s="12"/>
    </row>
    <row r="1862" spans="2:7" x14ac:dyDescent="0.25">
      <c r="B1862" s="12"/>
      <c r="C1862" s="12"/>
      <c r="D1862" s="15"/>
      <c r="E1862" s="19"/>
      <c r="F1862" s="19"/>
      <c r="G1862" s="12"/>
    </row>
    <row r="1863" spans="2:7" x14ac:dyDescent="0.25">
      <c r="B1863" s="12"/>
      <c r="C1863" s="12"/>
      <c r="D1863" s="15"/>
      <c r="E1863" s="19"/>
      <c r="F1863" s="19"/>
      <c r="G1863" s="12"/>
    </row>
    <row r="1864" spans="2:7" x14ac:dyDescent="0.25">
      <c r="B1864" s="12"/>
      <c r="C1864" s="12"/>
      <c r="D1864" s="15"/>
      <c r="E1864" s="19"/>
      <c r="F1864" s="19"/>
      <c r="G1864" s="12"/>
    </row>
    <row r="1865" spans="2:7" x14ac:dyDescent="0.25">
      <c r="B1865" s="12"/>
      <c r="C1865" s="12"/>
      <c r="D1865" s="15"/>
      <c r="E1865" s="19"/>
      <c r="F1865" s="19"/>
      <c r="G1865" s="12"/>
    </row>
    <row r="1866" spans="2:7" x14ac:dyDescent="0.25">
      <c r="B1866" s="12"/>
      <c r="C1866" s="12"/>
      <c r="D1866" s="15"/>
      <c r="E1866" s="19"/>
      <c r="F1866" s="19"/>
      <c r="G1866" s="12"/>
    </row>
    <row r="1867" spans="2:7" x14ac:dyDescent="0.25">
      <c r="B1867" s="12"/>
      <c r="C1867" s="12"/>
      <c r="D1867" s="15"/>
      <c r="E1867" s="19"/>
      <c r="F1867" s="19"/>
      <c r="G1867" s="12"/>
    </row>
    <row r="1868" spans="2:7" x14ac:dyDescent="0.25">
      <c r="B1868" s="12"/>
      <c r="C1868" s="12"/>
      <c r="D1868" s="15"/>
      <c r="E1868" s="19"/>
      <c r="F1868" s="19"/>
      <c r="G1868" s="12"/>
    </row>
    <row r="1869" spans="2:7" x14ac:dyDescent="0.25">
      <c r="B1869" s="12"/>
      <c r="C1869" s="12"/>
      <c r="D1869" s="15"/>
      <c r="E1869" s="19"/>
      <c r="F1869" s="19"/>
      <c r="G1869" s="12"/>
    </row>
    <row r="1870" spans="2:7" x14ac:dyDescent="0.25">
      <c r="B1870" s="12"/>
      <c r="C1870" s="12"/>
      <c r="D1870" s="15"/>
      <c r="E1870" s="19"/>
      <c r="F1870" s="19"/>
      <c r="G1870" s="12"/>
    </row>
    <row r="1871" spans="2:7" x14ac:dyDescent="0.25">
      <c r="B1871" s="12"/>
      <c r="C1871" s="12"/>
      <c r="D1871" s="15"/>
      <c r="E1871" s="19"/>
      <c r="F1871" s="19"/>
      <c r="G1871" s="12"/>
    </row>
    <row r="1872" spans="2:7" x14ac:dyDescent="0.25">
      <c r="B1872" s="12"/>
      <c r="C1872" s="12"/>
      <c r="D1872" s="15"/>
      <c r="E1872" s="19"/>
      <c r="F1872" s="19"/>
      <c r="G1872" s="12"/>
    </row>
    <row r="1873" spans="2:7" x14ac:dyDescent="0.25">
      <c r="B1873" s="12"/>
      <c r="C1873" s="12"/>
      <c r="D1873" s="15"/>
      <c r="E1873" s="19"/>
      <c r="F1873" s="19"/>
      <c r="G1873" s="12"/>
    </row>
    <row r="1874" spans="2:7" x14ac:dyDescent="0.25">
      <c r="B1874" s="12"/>
      <c r="C1874" s="12"/>
      <c r="D1874" s="15"/>
      <c r="E1874" s="19"/>
      <c r="F1874" s="19"/>
      <c r="G1874" s="12"/>
    </row>
    <row r="1875" spans="2:7" x14ac:dyDescent="0.25">
      <c r="B1875" s="12"/>
      <c r="C1875" s="12"/>
      <c r="D1875" s="15"/>
      <c r="E1875" s="19"/>
      <c r="F1875" s="19"/>
      <c r="G1875" s="12"/>
    </row>
    <row r="1876" spans="2:7" x14ac:dyDescent="0.25">
      <c r="B1876" s="12"/>
      <c r="C1876" s="12"/>
      <c r="D1876" s="15"/>
      <c r="E1876" s="19"/>
      <c r="F1876" s="19"/>
      <c r="G1876" s="12"/>
    </row>
    <row r="1877" spans="2:7" x14ac:dyDescent="0.25">
      <c r="B1877" s="12"/>
      <c r="C1877" s="12"/>
      <c r="D1877" s="15"/>
      <c r="E1877" s="19"/>
      <c r="F1877" s="19"/>
      <c r="G1877" s="12"/>
    </row>
    <row r="1878" spans="2:7" x14ac:dyDescent="0.25">
      <c r="B1878" s="12"/>
      <c r="C1878" s="12"/>
      <c r="D1878" s="15"/>
      <c r="E1878" s="19"/>
      <c r="F1878" s="19"/>
      <c r="G1878" s="12"/>
    </row>
    <row r="1879" spans="2:7" x14ac:dyDescent="0.25">
      <c r="B1879" s="12"/>
      <c r="C1879" s="12"/>
      <c r="D1879" s="15"/>
      <c r="E1879" s="19"/>
      <c r="F1879" s="19"/>
      <c r="G1879" s="12"/>
    </row>
    <row r="1880" spans="2:7" x14ac:dyDescent="0.25">
      <c r="B1880" s="12"/>
      <c r="C1880" s="12"/>
      <c r="D1880" s="15"/>
      <c r="E1880" s="19"/>
      <c r="F1880" s="19"/>
      <c r="G1880" s="12"/>
    </row>
    <row r="1881" spans="2:7" x14ac:dyDescent="0.25">
      <c r="B1881" s="12"/>
      <c r="C1881" s="12"/>
      <c r="D1881" s="15"/>
      <c r="E1881" s="19"/>
      <c r="F1881" s="19"/>
      <c r="G1881" s="12"/>
    </row>
    <row r="1882" spans="2:7" x14ac:dyDescent="0.25">
      <c r="B1882" s="12"/>
      <c r="C1882" s="12"/>
      <c r="D1882" s="15"/>
      <c r="E1882" s="19"/>
      <c r="F1882" s="19"/>
      <c r="G1882" s="12"/>
    </row>
    <row r="1883" spans="2:7" x14ac:dyDescent="0.25">
      <c r="B1883" s="12"/>
      <c r="C1883" s="12"/>
      <c r="D1883" s="15"/>
      <c r="E1883" s="19"/>
      <c r="F1883" s="19"/>
      <c r="G1883" s="12"/>
    </row>
    <row r="1884" spans="2:7" x14ac:dyDescent="0.25">
      <c r="B1884" s="12"/>
      <c r="C1884" s="12"/>
      <c r="D1884" s="15"/>
      <c r="E1884" s="19"/>
      <c r="F1884" s="19"/>
      <c r="G1884" s="12"/>
    </row>
    <row r="1885" spans="2:7" x14ac:dyDescent="0.25">
      <c r="B1885" s="12"/>
      <c r="C1885" s="12"/>
      <c r="D1885" s="15"/>
      <c r="E1885" s="19"/>
      <c r="F1885" s="19"/>
      <c r="G1885" s="12"/>
    </row>
    <row r="1886" spans="2:7" x14ac:dyDescent="0.25">
      <c r="B1886" s="12"/>
      <c r="C1886" s="12"/>
      <c r="D1886" s="15"/>
      <c r="E1886" s="19"/>
      <c r="F1886" s="19"/>
      <c r="G1886" s="12"/>
    </row>
    <row r="1887" spans="2:7" x14ac:dyDescent="0.25">
      <c r="B1887" s="12"/>
      <c r="C1887" s="12"/>
      <c r="D1887" s="15"/>
      <c r="E1887" s="19"/>
      <c r="F1887" s="19"/>
      <c r="G1887" s="12"/>
    </row>
    <row r="1888" spans="2:7" x14ac:dyDescent="0.25">
      <c r="B1888" s="12"/>
      <c r="C1888" s="12"/>
      <c r="D1888" s="15"/>
      <c r="E1888" s="19"/>
      <c r="F1888" s="19"/>
      <c r="G1888" s="12"/>
    </row>
    <row r="1889" spans="2:7" x14ac:dyDescent="0.25">
      <c r="B1889" s="12"/>
      <c r="C1889" s="12"/>
      <c r="D1889" s="15"/>
      <c r="E1889" s="19"/>
      <c r="F1889" s="19"/>
      <c r="G1889" s="12"/>
    </row>
    <row r="1890" spans="2:7" x14ac:dyDescent="0.25">
      <c r="B1890" s="12"/>
      <c r="C1890" s="12"/>
      <c r="D1890" s="15"/>
      <c r="E1890" s="19"/>
      <c r="F1890" s="19"/>
      <c r="G1890" s="12"/>
    </row>
    <row r="1891" spans="2:7" x14ac:dyDescent="0.25">
      <c r="B1891" s="12"/>
      <c r="C1891" s="12"/>
      <c r="D1891" s="15"/>
      <c r="E1891" s="19"/>
      <c r="F1891" s="19"/>
      <c r="G1891" s="12"/>
    </row>
    <row r="1892" spans="2:7" x14ac:dyDescent="0.25">
      <c r="B1892" s="12"/>
      <c r="C1892" s="12"/>
      <c r="D1892" s="15"/>
      <c r="E1892" s="19"/>
      <c r="F1892" s="19"/>
      <c r="G1892" s="12"/>
    </row>
    <row r="1893" spans="2:7" x14ac:dyDescent="0.25">
      <c r="B1893" s="12"/>
      <c r="C1893" s="12"/>
      <c r="D1893" s="15"/>
      <c r="E1893" s="19"/>
      <c r="F1893" s="19"/>
      <c r="G1893" s="12"/>
    </row>
    <row r="1894" spans="2:7" x14ac:dyDescent="0.25">
      <c r="B1894" s="12"/>
      <c r="C1894" s="12"/>
      <c r="D1894" s="15"/>
      <c r="E1894" s="19"/>
      <c r="F1894" s="19"/>
      <c r="G1894" s="12"/>
    </row>
    <row r="1895" spans="2:7" x14ac:dyDescent="0.25">
      <c r="B1895" s="12"/>
      <c r="C1895" s="12"/>
      <c r="D1895" s="15"/>
      <c r="E1895" s="19"/>
      <c r="F1895" s="19"/>
      <c r="G1895" s="12"/>
    </row>
    <row r="1896" spans="2:7" x14ac:dyDescent="0.25">
      <c r="B1896" s="12"/>
      <c r="C1896" s="12"/>
      <c r="D1896" s="15"/>
      <c r="E1896" s="19"/>
      <c r="F1896" s="19"/>
      <c r="G1896" s="12"/>
    </row>
    <row r="1897" spans="2:7" x14ac:dyDescent="0.25">
      <c r="B1897" s="12"/>
      <c r="C1897" s="12"/>
      <c r="D1897" s="15"/>
      <c r="E1897" s="19"/>
      <c r="F1897" s="19"/>
      <c r="G1897" s="12"/>
    </row>
    <row r="1898" spans="2:7" x14ac:dyDescent="0.25">
      <c r="B1898" s="12"/>
      <c r="C1898" s="12"/>
      <c r="D1898" s="15"/>
      <c r="E1898" s="19"/>
      <c r="F1898" s="19"/>
      <c r="G1898" s="12"/>
    </row>
    <row r="1899" spans="2:7" x14ac:dyDescent="0.25">
      <c r="B1899" s="12"/>
      <c r="C1899" s="12"/>
      <c r="D1899" s="15"/>
      <c r="E1899" s="19"/>
      <c r="F1899" s="19"/>
      <c r="G1899" s="12"/>
    </row>
    <row r="1900" spans="2:7" x14ac:dyDescent="0.25">
      <c r="B1900" s="12"/>
      <c r="C1900" s="12"/>
      <c r="D1900" s="15"/>
      <c r="E1900" s="19"/>
      <c r="F1900" s="19"/>
      <c r="G1900" s="12"/>
    </row>
    <row r="1901" spans="2:7" x14ac:dyDescent="0.25">
      <c r="B1901" s="12"/>
      <c r="C1901" s="12"/>
      <c r="D1901" s="15"/>
      <c r="E1901" s="19"/>
      <c r="F1901" s="19"/>
      <c r="G1901" s="12"/>
    </row>
    <row r="1902" spans="2:7" x14ac:dyDescent="0.25">
      <c r="B1902" s="12"/>
      <c r="C1902" s="12"/>
      <c r="D1902" s="15"/>
      <c r="E1902" s="19"/>
      <c r="F1902" s="19"/>
      <c r="G1902" s="12"/>
    </row>
    <row r="1903" spans="2:7" x14ac:dyDescent="0.25">
      <c r="B1903" s="12"/>
      <c r="C1903" s="12"/>
      <c r="D1903" s="15"/>
      <c r="E1903" s="19"/>
      <c r="F1903" s="19"/>
      <c r="G1903" s="12"/>
    </row>
    <row r="1904" spans="2:7" x14ac:dyDescent="0.25">
      <c r="B1904" s="12"/>
      <c r="C1904" s="12"/>
      <c r="D1904" s="15"/>
      <c r="E1904" s="19"/>
      <c r="F1904" s="19"/>
      <c r="G1904" s="12"/>
    </row>
    <row r="1905" spans="2:7" x14ac:dyDescent="0.25">
      <c r="B1905" s="12"/>
      <c r="C1905" s="12"/>
      <c r="D1905" s="15"/>
      <c r="E1905" s="19"/>
      <c r="F1905" s="19"/>
      <c r="G1905" s="12"/>
    </row>
    <row r="1906" spans="2:7" x14ac:dyDescent="0.25">
      <c r="B1906" s="12"/>
      <c r="C1906" s="12"/>
      <c r="D1906" s="15"/>
      <c r="E1906" s="19"/>
      <c r="F1906" s="19"/>
      <c r="G1906" s="12"/>
    </row>
    <row r="1907" spans="2:7" x14ac:dyDescent="0.25">
      <c r="B1907" s="12"/>
      <c r="C1907" s="12"/>
      <c r="D1907" s="15"/>
      <c r="E1907" s="19"/>
      <c r="F1907" s="19"/>
      <c r="G1907" s="12"/>
    </row>
    <row r="1908" spans="2:7" x14ac:dyDescent="0.25">
      <c r="B1908" s="12"/>
      <c r="C1908" s="12"/>
      <c r="D1908" s="15"/>
      <c r="E1908" s="19"/>
      <c r="F1908" s="19"/>
      <c r="G1908" s="12"/>
    </row>
    <row r="1909" spans="2:7" x14ac:dyDescent="0.25">
      <c r="B1909" s="12"/>
      <c r="C1909" s="12"/>
      <c r="D1909" s="15"/>
      <c r="E1909" s="19"/>
      <c r="F1909" s="19"/>
      <c r="G1909" s="12"/>
    </row>
    <row r="1910" spans="2:7" x14ac:dyDescent="0.25">
      <c r="B1910" s="12"/>
      <c r="C1910" s="12"/>
      <c r="D1910" s="15"/>
      <c r="E1910" s="19"/>
      <c r="F1910" s="19"/>
      <c r="G1910" s="12"/>
    </row>
    <row r="1911" spans="2:7" x14ac:dyDescent="0.25">
      <c r="B1911" s="12"/>
      <c r="C1911" s="12"/>
      <c r="D1911" s="15"/>
      <c r="E1911" s="19"/>
      <c r="F1911" s="19"/>
      <c r="G1911" s="12"/>
    </row>
    <row r="1912" spans="2:7" x14ac:dyDescent="0.25">
      <c r="B1912" s="12"/>
      <c r="C1912" s="12"/>
      <c r="D1912" s="15"/>
      <c r="E1912" s="19"/>
      <c r="F1912" s="19"/>
      <c r="G1912" s="12"/>
    </row>
    <row r="1913" spans="2:7" x14ac:dyDescent="0.25">
      <c r="B1913" s="12"/>
      <c r="C1913" s="12"/>
      <c r="D1913" s="15"/>
      <c r="E1913" s="19"/>
      <c r="F1913" s="19"/>
      <c r="G1913" s="12"/>
    </row>
    <row r="1914" spans="2:7" x14ac:dyDescent="0.25">
      <c r="B1914" s="12"/>
      <c r="C1914" s="12"/>
      <c r="D1914" s="15"/>
      <c r="E1914" s="19"/>
      <c r="F1914" s="19"/>
      <c r="G1914" s="12"/>
    </row>
    <row r="1915" spans="2:7" x14ac:dyDescent="0.25">
      <c r="B1915" s="12"/>
      <c r="C1915" s="12"/>
      <c r="D1915" s="15"/>
      <c r="E1915" s="19"/>
      <c r="F1915" s="19"/>
      <c r="G1915" s="12"/>
    </row>
    <row r="1916" spans="2:7" x14ac:dyDescent="0.25">
      <c r="B1916" s="12"/>
      <c r="C1916" s="12"/>
      <c r="D1916" s="15"/>
      <c r="E1916" s="19"/>
      <c r="F1916" s="19"/>
      <c r="G1916" s="12"/>
    </row>
    <row r="1917" spans="2:7" x14ac:dyDescent="0.25">
      <c r="B1917" s="12"/>
      <c r="C1917" s="12"/>
      <c r="D1917" s="15"/>
      <c r="E1917" s="19"/>
      <c r="F1917" s="19"/>
      <c r="G1917" s="12"/>
    </row>
    <row r="1918" spans="2:7" x14ac:dyDescent="0.25">
      <c r="B1918" s="12"/>
      <c r="C1918" s="12"/>
      <c r="D1918" s="15"/>
      <c r="E1918" s="19"/>
      <c r="F1918" s="19"/>
      <c r="G1918" s="12"/>
    </row>
    <row r="1919" spans="2:7" x14ac:dyDescent="0.25">
      <c r="B1919" s="12"/>
      <c r="C1919" s="12"/>
      <c r="D1919" s="15"/>
      <c r="E1919" s="19"/>
      <c r="F1919" s="19"/>
      <c r="G1919" s="12"/>
    </row>
    <row r="1920" spans="2:7" x14ac:dyDescent="0.25">
      <c r="B1920" s="12"/>
      <c r="C1920" s="12"/>
      <c r="D1920" s="15"/>
      <c r="E1920" s="19"/>
      <c r="F1920" s="19"/>
      <c r="G1920" s="12"/>
    </row>
    <row r="1921" spans="2:7" x14ac:dyDescent="0.25">
      <c r="B1921" s="12"/>
      <c r="C1921" s="12"/>
      <c r="D1921" s="15"/>
      <c r="E1921" s="19"/>
      <c r="F1921" s="19"/>
      <c r="G1921" s="12"/>
    </row>
    <row r="1922" spans="2:7" x14ac:dyDescent="0.25">
      <c r="B1922" s="12"/>
      <c r="C1922" s="12"/>
      <c r="D1922" s="15"/>
      <c r="E1922" s="19"/>
      <c r="F1922" s="19"/>
      <c r="G1922" s="12"/>
    </row>
    <row r="1923" spans="2:7" x14ac:dyDescent="0.25">
      <c r="B1923" s="12"/>
      <c r="C1923" s="12"/>
      <c r="D1923" s="15"/>
      <c r="E1923" s="19"/>
      <c r="F1923" s="19"/>
      <c r="G1923" s="12"/>
    </row>
    <row r="1924" spans="2:7" x14ac:dyDescent="0.25">
      <c r="B1924" s="12"/>
      <c r="C1924" s="12"/>
      <c r="D1924" s="15"/>
      <c r="E1924" s="19"/>
      <c r="F1924" s="19"/>
      <c r="G1924" s="12"/>
    </row>
    <row r="1925" spans="2:7" x14ac:dyDescent="0.25">
      <c r="B1925" s="12"/>
      <c r="C1925" s="12"/>
      <c r="D1925" s="15"/>
      <c r="E1925" s="19"/>
      <c r="F1925" s="19"/>
      <c r="G1925" s="12"/>
    </row>
    <row r="1926" spans="2:7" x14ac:dyDescent="0.25">
      <c r="B1926" s="12"/>
      <c r="C1926" s="12"/>
      <c r="D1926" s="15"/>
      <c r="E1926" s="19"/>
      <c r="F1926" s="19"/>
      <c r="G1926" s="12"/>
    </row>
    <row r="1927" spans="2:7" x14ac:dyDescent="0.25">
      <c r="B1927" s="12"/>
      <c r="C1927" s="12"/>
      <c r="D1927" s="15"/>
      <c r="E1927" s="19"/>
      <c r="F1927" s="19"/>
      <c r="G1927" s="12"/>
    </row>
    <row r="1928" spans="2:7" x14ac:dyDescent="0.25">
      <c r="B1928" s="12"/>
      <c r="C1928" s="12"/>
      <c r="D1928" s="15"/>
      <c r="E1928" s="19"/>
      <c r="F1928" s="19"/>
      <c r="G1928" s="12"/>
    </row>
    <row r="1929" spans="2:7" x14ac:dyDescent="0.25">
      <c r="B1929" s="12"/>
      <c r="C1929" s="12"/>
      <c r="D1929" s="15"/>
      <c r="E1929" s="19"/>
      <c r="F1929" s="19"/>
      <c r="G1929" s="12"/>
    </row>
    <row r="1930" spans="2:7" x14ac:dyDescent="0.25">
      <c r="B1930" s="12"/>
      <c r="C1930" s="12"/>
      <c r="D1930" s="15"/>
      <c r="E1930" s="19"/>
      <c r="F1930" s="19"/>
      <c r="G1930" s="12"/>
    </row>
    <row r="1931" spans="2:7" x14ac:dyDescent="0.25">
      <c r="B1931" s="12"/>
      <c r="C1931" s="12"/>
      <c r="D1931" s="15"/>
      <c r="E1931" s="19"/>
      <c r="F1931" s="19"/>
      <c r="G1931" s="12"/>
    </row>
    <row r="1932" spans="2:7" x14ac:dyDescent="0.25">
      <c r="B1932" s="12"/>
      <c r="C1932" s="12"/>
      <c r="D1932" s="15"/>
      <c r="E1932" s="19"/>
      <c r="F1932" s="19"/>
      <c r="G1932" s="12"/>
    </row>
    <row r="1933" spans="2:7" x14ac:dyDescent="0.25">
      <c r="B1933" s="12"/>
      <c r="C1933" s="12"/>
      <c r="D1933" s="15"/>
      <c r="E1933" s="19"/>
      <c r="F1933" s="19"/>
      <c r="G1933" s="12"/>
    </row>
    <row r="1934" spans="2:7" x14ac:dyDescent="0.25">
      <c r="B1934" s="12"/>
      <c r="C1934" s="12"/>
      <c r="D1934" s="15"/>
      <c r="E1934" s="19"/>
      <c r="F1934" s="19"/>
      <c r="G1934" s="12"/>
    </row>
    <row r="1935" spans="2:7" x14ac:dyDescent="0.25">
      <c r="B1935" s="12"/>
      <c r="C1935" s="12"/>
      <c r="D1935" s="15"/>
      <c r="E1935" s="19"/>
      <c r="F1935" s="19"/>
      <c r="G1935" s="12"/>
    </row>
    <row r="1936" spans="2:7" x14ac:dyDescent="0.25">
      <c r="B1936" s="12"/>
      <c r="C1936" s="12"/>
      <c r="D1936" s="15"/>
      <c r="E1936" s="19"/>
      <c r="F1936" s="19"/>
      <c r="G1936" s="12"/>
    </row>
    <row r="1937" spans="2:7" x14ac:dyDescent="0.25">
      <c r="B1937" s="12"/>
      <c r="C1937" s="12"/>
      <c r="D1937" s="15"/>
      <c r="E1937" s="19"/>
      <c r="F1937" s="19"/>
      <c r="G1937" s="12"/>
    </row>
    <row r="1938" spans="2:7" x14ac:dyDescent="0.25">
      <c r="B1938" s="12"/>
      <c r="C1938" s="12"/>
      <c r="D1938" s="15"/>
      <c r="E1938" s="19"/>
      <c r="F1938" s="19"/>
      <c r="G1938" s="12"/>
    </row>
    <row r="1939" spans="2:7" x14ac:dyDescent="0.25">
      <c r="B1939" s="12"/>
      <c r="C1939" s="12"/>
      <c r="D1939" s="15"/>
      <c r="E1939" s="19"/>
      <c r="F1939" s="19"/>
      <c r="G1939" s="12"/>
    </row>
    <row r="1940" spans="2:7" x14ac:dyDescent="0.25">
      <c r="B1940" s="12"/>
      <c r="C1940" s="12"/>
      <c r="D1940" s="15"/>
      <c r="E1940" s="19"/>
      <c r="F1940" s="19"/>
      <c r="G1940" s="12"/>
    </row>
    <row r="1941" spans="2:7" x14ac:dyDescent="0.25">
      <c r="B1941" s="12"/>
      <c r="C1941" s="12"/>
      <c r="D1941" s="15"/>
      <c r="E1941" s="19"/>
      <c r="F1941" s="19"/>
      <c r="G1941" s="12"/>
    </row>
    <row r="1942" spans="2:7" x14ac:dyDescent="0.25">
      <c r="B1942" s="12"/>
      <c r="C1942" s="12"/>
      <c r="D1942" s="15"/>
      <c r="E1942" s="19"/>
      <c r="F1942" s="19"/>
      <c r="G1942" s="12"/>
    </row>
    <row r="1943" spans="2:7" x14ac:dyDescent="0.25">
      <c r="B1943" s="12"/>
      <c r="C1943" s="12"/>
      <c r="D1943" s="15"/>
      <c r="E1943" s="19"/>
      <c r="F1943" s="19"/>
      <c r="G1943" s="12"/>
    </row>
    <row r="1944" spans="2:7" x14ac:dyDescent="0.25">
      <c r="B1944" s="12"/>
      <c r="C1944" s="12"/>
      <c r="D1944" s="15"/>
      <c r="E1944" s="19"/>
      <c r="F1944" s="19"/>
      <c r="G1944" s="12"/>
    </row>
    <row r="1945" spans="2:7" x14ac:dyDescent="0.25">
      <c r="B1945" s="12"/>
      <c r="C1945" s="12"/>
      <c r="D1945" s="15"/>
      <c r="E1945" s="19"/>
      <c r="F1945" s="19"/>
      <c r="G1945" s="12"/>
    </row>
    <row r="1946" spans="2:7" x14ac:dyDescent="0.25">
      <c r="B1946" s="12"/>
      <c r="C1946" s="12"/>
      <c r="D1946" s="15"/>
      <c r="E1946" s="19"/>
      <c r="F1946" s="19"/>
      <c r="G1946" s="12"/>
    </row>
    <row r="1947" spans="2:7" x14ac:dyDescent="0.25">
      <c r="B1947" s="12"/>
      <c r="C1947" s="12"/>
      <c r="D1947" s="15"/>
      <c r="E1947" s="19"/>
      <c r="F1947" s="19"/>
      <c r="G1947" s="12"/>
    </row>
    <row r="1948" spans="2:7" x14ac:dyDescent="0.25">
      <c r="B1948" s="12"/>
      <c r="C1948" s="12"/>
      <c r="D1948" s="15"/>
      <c r="E1948" s="19"/>
      <c r="F1948" s="19"/>
      <c r="G1948" s="12"/>
    </row>
    <row r="1949" spans="2:7" x14ac:dyDescent="0.25">
      <c r="B1949" s="12"/>
      <c r="C1949" s="12"/>
      <c r="D1949" s="15"/>
      <c r="E1949" s="19"/>
      <c r="F1949" s="19"/>
      <c r="G1949" s="12"/>
    </row>
    <row r="1950" spans="2:7" x14ac:dyDescent="0.25">
      <c r="B1950" s="12"/>
      <c r="C1950" s="12"/>
      <c r="D1950" s="15"/>
      <c r="E1950" s="19"/>
      <c r="F1950" s="19"/>
      <c r="G1950" s="12"/>
    </row>
    <row r="1951" spans="2:7" x14ac:dyDescent="0.25">
      <c r="B1951" s="12"/>
      <c r="C1951" s="12"/>
      <c r="D1951" s="15"/>
      <c r="E1951" s="19"/>
      <c r="F1951" s="19"/>
      <c r="G1951" s="12"/>
    </row>
    <row r="1952" spans="2:7" x14ac:dyDescent="0.25">
      <c r="B1952" s="12"/>
      <c r="C1952" s="12"/>
      <c r="D1952" s="15"/>
      <c r="E1952" s="19"/>
      <c r="F1952" s="19"/>
      <c r="G1952" s="12"/>
    </row>
    <row r="1953" spans="2:7" x14ac:dyDescent="0.25">
      <c r="B1953" s="12"/>
      <c r="C1953" s="12"/>
      <c r="D1953" s="15"/>
      <c r="E1953" s="19"/>
      <c r="F1953" s="19"/>
      <c r="G1953" s="12"/>
    </row>
    <row r="1954" spans="2:7" x14ac:dyDescent="0.25">
      <c r="B1954" s="12"/>
      <c r="C1954" s="12"/>
      <c r="D1954" s="15"/>
      <c r="E1954" s="19"/>
      <c r="F1954" s="19"/>
      <c r="G1954" s="12"/>
    </row>
    <row r="1955" spans="2:7" x14ac:dyDescent="0.25">
      <c r="B1955" s="12"/>
      <c r="C1955" s="12"/>
      <c r="D1955" s="15"/>
      <c r="E1955" s="19"/>
      <c r="F1955" s="19"/>
      <c r="G1955" s="12"/>
    </row>
    <row r="1956" spans="2:7" x14ac:dyDescent="0.25">
      <c r="B1956" s="12"/>
      <c r="C1956" s="12"/>
      <c r="D1956" s="15"/>
      <c r="E1956" s="19"/>
      <c r="F1956" s="19"/>
      <c r="G1956" s="12"/>
    </row>
    <row r="1957" spans="2:7" x14ac:dyDescent="0.25">
      <c r="B1957" s="12"/>
      <c r="C1957" s="12"/>
      <c r="D1957" s="15"/>
      <c r="E1957" s="19"/>
      <c r="F1957" s="19"/>
      <c r="G1957" s="12"/>
    </row>
    <row r="1958" spans="2:7" x14ac:dyDescent="0.25">
      <c r="B1958" s="12"/>
      <c r="C1958" s="12"/>
      <c r="D1958" s="15"/>
      <c r="E1958" s="19"/>
      <c r="F1958" s="19"/>
      <c r="G1958" s="12"/>
    </row>
    <row r="1959" spans="2:7" x14ac:dyDescent="0.25">
      <c r="B1959" s="12"/>
      <c r="C1959" s="12"/>
      <c r="D1959" s="15"/>
      <c r="E1959" s="19"/>
      <c r="F1959" s="19"/>
      <c r="G1959" s="12"/>
    </row>
    <row r="1960" spans="2:7" x14ac:dyDescent="0.25">
      <c r="B1960" s="12"/>
      <c r="C1960" s="12"/>
      <c r="D1960" s="15"/>
      <c r="E1960" s="19"/>
      <c r="F1960" s="19"/>
      <c r="G1960" s="12"/>
    </row>
    <row r="1961" spans="2:7" x14ac:dyDescent="0.25">
      <c r="B1961" s="12"/>
      <c r="C1961" s="12"/>
      <c r="D1961" s="15"/>
      <c r="E1961" s="19"/>
      <c r="F1961" s="19"/>
      <c r="G1961" s="12"/>
    </row>
    <row r="1962" spans="2:7" x14ac:dyDescent="0.25">
      <c r="B1962" s="12"/>
      <c r="C1962" s="12"/>
      <c r="D1962" s="15"/>
      <c r="E1962" s="19"/>
      <c r="F1962" s="19"/>
      <c r="G1962" s="12"/>
    </row>
    <row r="1963" spans="2:7" x14ac:dyDescent="0.25">
      <c r="B1963" s="12"/>
      <c r="C1963" s="12"/>
      <c r="D1963" s="15"/>
      <c r="E1963" s="19"/>
      <c r="F1963" s="19"/>
      <c r="G1963" s="12"/>
    </row>
    <row r="1964" spans="2:7" x14ac:dyDescent="0.25">
      <c r="B1964" s="12"/>
      <c r="C1964" s="12"/>
      <c r="D1964" s="15"/>
      <c r="E1964" s="19"/>
      <c r="F1964" s="19"/>
      <c r="G1964" s="12"/>
    </row>
    <row r="1965" spans="2:7" x14ac:dyDescent="0.25">
      <c r="B1965" s="12"/>
      <c r="C1965" s="12"/>
      <c r="D1965" s="15"/>
      <c r="E1965" s="19"/>
      <c r="F1965" s="19"/>
      <c r="G1965" s="12"/>
    </row>
    <row r="1966" spans="2:7" x14ac:dyDescent="0.25">
      <c r="B1966" s="12"/>
      <c r="C1966" s="12"/>
      <c r="D1966" s="15"/>
      <c r="E1966" s="19"/>
      <c r="F1966" s="19"/>
      <c r="G1966" s="12"/>
    </row>
    <row r="1967" spans="2:7" x14ac:dyDescent="0.25">
      <c r="B1967" s="12"/>
      <c r="C1967" s="12"/>
      <c r="D1967" s="15"/>
      <c r="E1967" s="19"/>
      <c r="F1967" s="19"/>
      <c r="G1967" s="12"/>
    </row>
    <row r="1968" spans="2:7" x14ac:dyDescent="0.25">
      <c r="B1968" s="12"/>
      <c r="C1968" s="12"/>
      <c r="D1968" s="15"/>
      <c r="E1968" s="19"/>
      <c r="F1968" s="19"/>
      <c r="G1968" s="12"/>
    </row>
    <row r="1969" spans="2:7" x14ac:dyDescent="0.25">
      <c r="B1969" s="12"/>
      <c r="C1969" s="12"/>
      <c r="D1969" s="15"/>
      <c r="E1969" s="19"/>
      <c r="F1969" s="19"/>
      <c r="G1969" s="12"/>
    </row>
    <row r="1970" spans="2:7" x14ac:dyDescent="0.25">
      <c r="B1970" s="12"/>
      <c r="C1970" s="12"/>
      <c r="D1970" s="15"/>
      <c r="E1970" s="19"/>
      <c r="F1970" s="19"/>
      <c r="G1970" s="12"/>
    </row>
    <row r="1971" spans="2:7" x14ac:dyDescent="0.25">
      <c r="B1971" s="12"/>
      <c r="C1971" s="12"/>
      <c r="D1971" s="15"/>
      <c r="E1971" s="19"/>
      <c r="F1971" s="19"/>
      <c r="G1971" s="12"/>
    </row>
    <row r="1972" spans="2:7" x14ac:dyDescent="0.25">
      <c r="B1972" s="12"/>
      <c r="C1972" s="12"/>
      <c r="D1972" s="15"/>
      <c r="E1972" s="19"/>
      <c r="F1972" s="19"/>
      <c r="G1972" s="12"/>
    </row>
    <row r="1973" spans="2:7" x14ac:dyDescent="0.25">
      <c r="B1973" s="12"/>
      <c r="C1973" s="12"/>
      <c r="D1973" s="15"/>
      <c r="E1973" s="19"/>
      <c r="F1973" s="19"/>
      <c r="G1973" s="12"/>
    </row>
    <row r="1974" spans="2:7" x14ac:dyDescent="0.25">
      <c r="B1974" s="12"/>
      <c r="C1974" s="12"/>
      <c r="D1974" s="15"/>
      <c r="E1974" s="19"/>
      <c r="F1974" s="19"/>
      <c r="G1974" s="12"/>
    </row>
    <row r="1975" spans="2:7" x14ac:dyDescent="0.25">
      <c r="B1975" s="12"/>
      <c r="C1975" s="12"/>
      <c r="D1975" s="15"/>
      <c r="E1975" s="19"/>
      <c r="F1975" s="19"/>
      <c r="G1975" s="12"/>
    </row>
    <row r="1976" spans="2:7" x14ac:dyDescent="0.25">
      <c r="B1976" s="12"/>
      <c r="C1976" s="12"/>
      <c r="D1976" s="15"/>
      <c r="E1976" s="19"/>
      <c r="F1976" s="19"/>
      <c r="G1976" s="12"/>
    </row>
    <row r="1977" spans="2:7" x14ac:dyDescent="0.25">
      <c r="B1977" s="12"/>
      <c r="C1977" s="12"/>
      <c r="D1977" s="15"/>
      <c r="E1977" s="19"/>
      <c r="F1977" s="19"/>
      <c r="G1977" s="12"/>
    </row>
    <row r="1978" spans="2:7" x14ac:dyDescent="0.25">
      <c r="B1978" s="12"/>
      <c r="C1978" s="12"/>
      <c r="D1978" s="15"/>
      <c r="E1978" s="19"/>
      <c r="F1978" s="19"/>
      <c r="G1978" s="12"/>
    </row>
    <row r="1979" spans="2:7" x14ac:dyDescent="0.25">
      <c r="B1979" s="12"/>
      <c r="C1979" s="12"/>
      <c r="D1979" s="15"/>
      <c r="E1979" s="19"/>
      <c r="F1979" s="19"/>
      <c r="G1979" s="12"/>
    </row>
    <row r="1980" spans="2:7" x14ac:dyDescent="0.25">
      <c r="B1980" s="12"/>
      <c r="C1980" s="12"/>
      <c r="D1980" s="15"/>
      <c r="E1980" s="19"/>
      <c r="F1980" s="19"/>
      <c r="G1980" s="12"/>
    </row>
    <row r="1981" spans="2:7" x14ac:dyDescent="0.25">
      <c r="B1981" s="12"/>
      <c r="C1981" s="12"/>
      <c r="D1981" s="15"/>
      <c r="E1981" s="19"/>
      <c r="F1981" s="19"/>
      <c r="G1981" s="12"/>
    </row>
    <row r="1982" spans="2:7" x14ac:dyDescent="0.25">
      <c r="B1982" s="12"/>
      <c r="C1982" s="12"/>
      <c r="D1982" s="15"/>
      <c r="E1982" s="19"/>
      <c r="F1982" s="19"/>
      <c r="G1982" s="12"/>
    </row>
    <row r="1983" spans="2:7" x14ac:dyDescent="0.25">
      <c r="B1983" s="12"/>
      <c r="C1983" s="12"/>
      <c r="D1983" s="15"/>
      <c r="E1983" s="19"/>
      <c r="F1983" s="19"/>
      <c r="G1983" s="12"/>
    </row>
    <row r="1984" spans="2:7" x14ac:dyDescent="0.25">
      <c r="B1984" s="12"/>
      <c r="C1984" s="12"/>
      <c r="D1984" s="15"/>
      <c r="E1984" s="19"/>
      <c r="F1984" s="19"/>
      <c r="G1984" s="12"/>
    </row>
    <row r="1985" spans="2:7" x14ac:dyDescent="0.25">
      <c r="B1985" s="12"/>
      <c r="C1985" s="12"/>
      <c r="D1985" s="15"/>
      <c r="E1985" s="19"/>
      <c r="F1985" s="19"/>
      <c r="G1985" s="12"/>
    </row>
    <row r="1986" spans="2:7" x14ac:dyDescent="0.25">
      <c r="B1986" s="12"/>
      <c r="C1986" s="12"/>
      <c r="D1986" s="15"/>
      <c r="E1986" s="19"/>
      <c r="F1986" s="19"/>
      <c r="G1986" s="12"/>
    </row>
    <row r="1987" spans="2:7" x14ac:dyDescent="0.25">
      <c r="B1987" s="12"/>
      <c r="C1987" s="12"/>
      <c r="D1987" s="15"/>
      <c r="E1987" s="19"/>
      <c r="F1987" s="19"/>
      <c r="G1987" s="12"/>
    </row>
    <row r="1988" spans="2:7" x14ac:dyDescent="0.25">
      <c r="B1988" s="12"/>
      <c r="C1988" s="12"/>
      <c r="D1988" s="15"/>
      <c r="E1988" s="19"/>
      <c r="F1988" s="19"/>
      <c r="G1988" s="12"/>
    </row>
    <row r="1989" spans="2:7" x14ac:dyDescent="0.25">
      <c r="B1989" s="12"/>
      <c r="C1989" s="12"/>
      <c r="D1989" s="15"/>
      <c r="E1989" s="19"/>
      <c r="F1989" s="19"/>
      <c r="G1989" s="12"/>
    </row>
    <row r="1990" spans="2:7" x14ac:dyDescent="0.25">
      <c r="B1990" s="12"/>
      <c r="C1990" s="12"/>
      <c r="D1990" s="15"/>
      <c r="E1990" s="19"/>
      <c r="F1990" s="19"/>
      <c r="G1990" s="12"/>
    </row>
    <row r="1991" spans="2:7" x14ac:dyDescent="0.25">
      <c r="B1991" s="12"/>
      <c r="C1991" s="12"/>
      <c r="D1991" s="15"/>
      <c r="E1991" s="19"/>
      <c r="F1991" s="19"/>
      <c r="G1991" s="12"/>
    </row>
    <row r="1992" spans="2:7" x14ac:dyDescent="0.25">
      <c r="B1992" s="12"/>
      <c r="C1992" s="12"/>
      <c r="D1992" s="15"/>
      <c r="E1992" s="19"/>
      <c r="F1992" s="19"/>
      <c r="G1992" s="12"/>
    </row>
    <row r="1993" spans="2:7" x14ac:dyDescent="0.25">
      <c r="B1993" s="12"/>
      <c r="C1993" s="12"/>
      <c r="D1993" s="15"/>
      <c r="E1993" s="19"/>
      <c r="F1993" s="19"/>
      <c r="G1993" s="12"/>
    </row>
    <row r="1994" spans="2:7" x14ac:dyDescent="0.25">
      <c r="B1994" s="12"/>
      <c r="C1994" s="12"/>
      <c r="D1994" s="15"/>
      <c r="E1994" s="19"/>
      <c r="F1994" s="19"/>
      <c r="G1994" s="12"/>
    </row>
    <row r="1995" spans="2:7" x14ac:dyDescent="0.25">
      <c r="B1995" s="12"/>
      <c r="C1995" s="12"/>
      <c r="D1995" s="15"/>
      <c r="E1995" s="19"/>
      <c r="F1995" s="19"/>
      <c r="G1995" s="12"/>
    </row>
    <row r="1996" spans="2:7" x14ac:dyDescent="0.25">
      <c r="B1996" s="12"/>
      <c r="C1996" s="12"/>
      <c r="D1996" s="15"/>
      <c r="E1996" s="19"/>
      <c r="F1996" s="19"/>
      <c r="G1996" s="12"/>
    </row>
    <row r="1997" spans="2:7" x14ac:dyDescent="0.25">
      <c r="B1997" s="12"/>
      <c r="C1997" s="12"/>
      <c r="D1997" s="15"/>
      <c r="E1997" s="19"/>
      <c r="F1997" s="19"/>
      <c r="G1997" s="12"/>
    </row>
    <row r="1998" spans="2:7" x14ac:dyDescent="0.25">
      <c r="B1998" s="12"/>
      <c r="C1998" s="12"/>
      <c r="D1998" s="15"/>
      <c r="E1998" s="19"/>
      <c r="F1998" s="19"/>
      <c r="G1998" s="12"/>
    </row>
    <row r="1999" spans="2:7" x14ac:dyDescent="0.25">
      <c r="B1999" s="12"/>
      <c r="C1999" s="12"/>
      <c r="D1999" s="15"/>
      <c r="E1999" s="19"/>
      <c r="F1999" s="19"/>
      <c r="G1999" s="12"/>
    </row>
    <row r="2000" spans="2:7" x14ac:dyDescent="0.25">
      <c r="B2000" s="12"/>
      <c r="C2000" s="12"/>
      <c r="D2000" s="15"/>
      <c r="E2000" s="19"/>
      <c r="F2000" s="19"/>
      <c r="G2000" s="12"/>
    </row>
    <row r="2001" spans="2:7" x14ac:dyDescent="0.25">
      <c r="B2001" s="12"/>
      <c r="C2001" s="12"/>
      <c r="D2001" s="15"/>
      <c r="E2001" s="19"/>
      <c r="F2001" s="19"/>
      <c r="G2001" s="12"/>
    </row>
    <row r="2002" spans="2:7" x14ac:dyDescent="0.25">
      <c r="B2002" s="12"/>
      <c r="C2002" s="12"/>
      <c r="D2002" s="15"/>
      <c r="E2002" s="19"/>
      <c r="F2002" s="19"/>
      <c r="G2002" s="12"/>
    </row>
    <row r="2003" spans="2:7" x14ac:dyDescent="0.25">
      <c r="B2003" s="12"/>
      <c r="C2003" s="12"/>
      <c r="D2003" s="15"/>
      <c r="E2003" s="19"/>
      <c r="F2003" s="19"/>
      <c r="G2003" s="12"/>
    </row>
    <row r="2004" spans="2:7" x14ac:dyDescent="0.25">
      <c r="B2004" s="12"/>
      <c r="C2004" s="12"/>
      <c r="D2004" s="15"/>
      <c r="E2004" s="19"/>
      <c r="F2004" s="19"/>
      <c r="G2004" s="12"/>
    </row>
    <row r="2005" spans="2:7" x14ac:dyDescent="0.25">
      <c r="B2005" s="12"/>
      <c r="C2005" s="12"/>
      <c r="D2005" s="15"/>
      <c r="E2005" s="19"/>
      <c r="F2005" s="19"/>
      <c r="G2005" s="12"/>
    </row>
    <row r="2006" spans="2:7" x14ac:dyDescent="0.25">
      <c r="B2006" s="12"/>
      <c r="C2006" s="12"/>
      <c r="D2006" s="15"/>
      <c r="E2006" s="19"/>
      <c r="F2006" s="19"/>
      <c r="G2006" s="12"/>
    </row>
    <row r="2007" spans="2:7" x14ac:dyDescent="0.25">
      <c r="B2007" s="12"/>
      <c r="C2007" s="12"/>
      <c r="D2007" s="15"/>
      <c r="E2007" s="19"/>
      <c r="F2007" s="19"/>
      <c r="G2007" s="12"/>
    </row>
    <row r="2008" spans="2:7" x14ac:dyDescent="0.25">
      <c r="B2008" s="12"/>
      <c r="C2008" s="12"/>
      <c r="D2008" s="15"/>
      <c r="E2008" s="19"/>
      <c r="F2008" s="19"/>
      <c r="G2008" s="12"/>
    </row>
    <row r="2009" spans="2:7" x14ac:dyDescent="0.25">
      <c r="B2009" s="12"/>
      <c r="C2009" s="12"/>
      <c r="D2009" s="15"/>
      <c r="E2009" s="19"/>
      <c r="F2009" s="19"/>
      <c r="G2009" s="12"/>
    </row>
    <row r="2010" spans="2:7" x14ac:dyDescent="0.25">
      <c r="B2010" s="12"/>
      <c r="C2010" s="12"/>
      <c r="D2010" s="15"/>
      <c r="E2010" s="19"/>
      <c r="F2010" s="19"/>
      <c r="G2010" s="12"/>
    </row>
    <row r="2011" spans="2:7" x14ac:dyDescent="0.25">
      <c r="B2011" s="12"/>
      <c r="C2011" s="12"/>
      <c r="D2011" s="15"/>
      <c r="E2011" s="19"/>
      <c r="F2011" s="19"/>
      <c r="G2011" s="12"/>
    </row>
    <row r="2012" spans="2:7" x14ac:dyDescent="0.25">
      <c r="B2012" s="12"/>
      <c r="C2012" s="12"/>
      <c r="D2012" s="15"/>
      <c r="E2012" s="19"/>
      <c r="F2012" s="19"/>
      <c r="G2012" s="12"/>
    </row>
    <row r="2013" spans="2:7" x14ac:dyDescent="0.25">
      <c r="B2013" s="12"/>
      <c r="C2013" s="12"/>
      <c r="D2013" s="15"/>
      <c r="E2013" s="19"/>
      <c r="F2013" s="19"/>
      <c r="G2013" s="12"/>
    </row>
    <row r="2014" spans="2:7" x14ac:dyDescent="0.25">
      <c r="B2014" s="12"/>
      <c r="C2014" s="12"/>
      <c r="D2014" s="15"/>
      <c r="E2014" s="19"/>
      <c r="F2014" s="19"/>
      <c r="G2014" s="12"/>
    </row>
    <row r="2015" spans="2:7" x14ac:dyDescent="0.25">
      <c r="B2015" s="12"/>
      <c r="C2015" s="12"/>
      <c r="D2015" s="15"/>
      <c r="E2015" s="19"/>
      <c r="F2015" s="19"/>
      <c r="G2015" s="12"/>
    </row>
    <row r="2016" spans="2:7" x14ac:dyDescent="0.25">
      <c r="B2016" s="12"/>
      <c r="C2016" s="12"/>
      <c r="D2016" s="15"/>
      <c r="E2016" s="19"/>
      <c r="F2016" s="19"/>
      <c r="G2016" s="12"/>
    </row>
    <row r="2017" spans="2:7" x14ac:dyDescent="0.25">
      <c r="B2017" s="12"/>
      <c r="C2017" s="12"/>
      <c r="D2017" s="15"/>
      <c r="E2017" s="19"/>
      <c r="F2017" s="19"/>
      <c r="G2017" s="12"/>
    </row>
    <row r="2018" spans="2:7" x14ac:dyDescent="0.25">
      <c r="B2018" s="12"/>
      <c r="C2018" s="12"/>
      <c r="D2018" s="15"/>
      <c r="E2018" s="19"/>
      <c r="F2018" s="19"/>
      <c r="G2018" s="12"/>
    </row>
    <row r="2019" spans="2:7" x14ac:dyDescent="0.25">
      <c r="B2019" s="12"/>
      <c r="C2019" s="12"/>
      <c r="D2019" s="15"/>
      <c r="E2019" s="19"/>
      <c r="F2019" s="19"/>
      <c r="G2019" s="12"/>
    </row>
    <row r="2020" spans="2:7" x14ac:dyDescent="0.25">
      <c r="B2020" s="12"/>
      <c r="C2020" s="12"/>
      <c r="D2020" s="15"/>
      <c r="E2020" s="19"/>
      <c r="F2020" s="19"/>
      <c r="G2020" s="12"/>
    </row>
    <row r="2021" spans="2:7" x14ac:dyDescent="0.25">
      <c r="B2021" s="12"/>
      <c r="C2021" s="12"/>
      <c r="D2021" s="15"/>
      <c r="E2021" s="19"/>
      <c r="F2021" s="19"/>
      <c r="G2021" s="12"/>
    </row>
    <row r="2022" spans="2:7" x14ac:dyDescent="0.25">
      <c r="B2022" s="12"/>
      <c r="C2022" s="12"/>
      <c r="D2022" s="15"/>
      <c r="E2022" s="19"/>
      <c r="F2022" s="19"/>
      <c r="G2022" s="12"/>
    </row>
    <row r="2023" spans="2:7" x14ac:dyDescent="0.25">
      <c r="B2023" s="12"/>
      <c r="C2023" s="12"/>
      <c r="D2023" s="15"/>
      <c r="E2023" s="19"/>
      <c r="F2023" s="19"/>
      <c r="G2023" s="12"/>
    </row>
    <row r="2024" spans="2:7" x14ac:dyDescent="0.25">
      <c r="B2024" s="12"/>
      <c r="C2024" s="12"/>
      <c r="D2024" s="15"/>
      <c r="E2024" s="19"/>
      <c r="F2024" s="19"/>
      <c r="G2024" s="12"/>
    </row>
    <row r="2025" spans="2:7" x14ac:dyDescent="0.25">
      <c r="B2025" s="12"/>
      <c r="C2025" s="12"/>
      <c r="D2025" s="15"/>
      <c r="E2025" s="19"/>
      <c r="F2025" s="19"/>
      <c r="G2025" s="12"/>
    </row>
    <row r="2026" spans="2:7" x14ac:dyDescent="0.25">
      <c r="B2026" s="12"/>
      <c r="C2026" s="12"/>
      <c r="D2026" s="15"/>
      <c r="E2026" s="19"/>
      <c r="F2026" s="19"/>
      <c r="G2026" s="12"/>
    </row>
    <row r="2027" spans="2:7" x14ac:dyDescent="0.25">
      <c r="B2027" s="12"/>
      <c r="C2027" s="12"/>
      <c r="D2027" s="15"/>
      <c r="E2027" s="19"/>
      <c r="F2027" s="19"/>
      <c r="G2027" s="12"/>
    </row>
    <row r="2028" spans="2:7" x14ac:dyDescent="0.25">
      <c r="B2028" s="12"/>
      <c r="C2028" s="12"/>
      <c r="D2028" s="15"/>
      <c r="E2028" s="19"/>
      <c r="F2028" s="19"/>
      <c r="G2028" s="12"/>
    </row>
    <row r="2029" spans="2:7" x14ac:dyDescent="0.25">
      <c r="B2029" s="12"/>
      <c r="C2029" s="12"/>
      <c r="D2029" s="15"/>
      <c r="E2029" s="19"/>
      <c r="F2029" s="19"/>
      <c r="G2029" s="12"/>
    </row>
    <row r="2030" spans="2:7" x14ac:dyDescent="0.25">
      <c r="B2030" s="12"/>
      <c r="C2030" s="12"/>
      <c r="D2030" s="15"/>
      <c r="E2030" s="19"/>
      <c r="F2030" s="19"/>
      <c r="G2030" s="12"/>
    </row>
    <row r="2031" spans="2:7" x14ac:dyDescent="0.25">
      <c r="B2031" s="12"/>
      <c r="C2031" s="12"/>
      <c r="D2031" s="15"/>
      <c r="E2031" s="19"/>
      <c r="F2031" s="19"/>
      <c r="G2031" s="12"/>
    </row>
    <row r="2032" spans="2:7" x14ac:dyDescent="0.25">
      <c r="B2032" s="12"/>
      <c r="C2032" s="12"/>
      <c r="D2032" s="15"/>
      <c r="E2032" s="19"/>
      <c r="F2032" s="19"/>
      <c r="G2032" s="12"/>
    </row>
    <row r="2033" spans="2:7" x14ac:dyDescent="0.25">
      <c r="B2033" s="12"/>
      <c r="C2033" s="12"/>
      <c r="D2033" s="15"/>
      <c r="E2033" s="19"/>
      <c r="F2033" s="19"/>
      <c r="G2033" s="12"/>
    </row>
    <row r="2034" spans="2:7" x14ac:dyDescent="0.25">
      <c r="B2034" s="12"/>
      <c r="C2034" s="12"/>
      <c r="D2034" s="15"/>
      <c r="E2034" s="19"/>
      <c r="F2034" s="19"/>
      <c r="G2034" s="12"/>
    </row>
    <row r="2035" spans="2:7" x14ac:dyDescent="0.25">
      <c r="B2035" s="12"/>
      <c r="C2035" s="12"/>
      <c r="D2035" s="15"/>
      <c r="E2035" s="19"/>
      <c r="F2035" s="19"/>
      <c r="G2035" s="12"/>
    </row>
    <row r="2036" spans="2:7" x14ac:dyDescent="0.25">
      <c r="B2036" s="12"/>
      <c r="C2036" s="12"/>
      <c r="D2036" s="15"/>
      <c r="E2036" s="19"/>
      <c r="F2036" s="19"/>
      <c r="G2036" s="12"/>
    </row>
    <row r="2037" spans="2:7" x14ac:dyDescent="0.25">
      <c r="B2037" s="12"/>
      <c r="C2037" s="12"/>
      <c r="D2037" s="15"/>
      <c r="E2037" s="19"/>
      <c r="F2037" s="19"/>
      <c r="G2037" s="12"/>
    </row>
    <row r="2038" spans="2:7" x14ac:dyDescent="0.25">
      <c r="B2038" s="12"/>
      <c r="C2038" s="12"/>
      <c r="D2038" s="15"/>
      <c r="E2038" s="19"/>
      <c r="F2038" s="19"/>
      <c r="G2038" s="12"/>
    </row>
    <row r="2039" spans="2:7" x14ac:dyDescent="0.25">
      <c r="B2039" s="12"/>
      <c r="C2039" s="12"/>
      <c r="D2039" s="15"/>
      <c r="E2039" s="19"/>
      <c r="F2039" s="19"/>
      <c r="G2039" s="12"/>
    </row>
    <row r="2040" spans="2:7" x14ac:dyDescent="0.25">
      <c r="B2040" s="12"/>
      <c r="C2040" s="12"/>
      <c r="D2040" s="15"/>
      <c r="E2040" s="19"/>
      <c r="F2040" s="19"/>
      <c r="G2040" s="12"/>
    </row>
    <row r="2041" spans="2:7" x14ac:dyDescent="0.25">
      <c r="B2041" s="12"/>
      <c r="C2041" s="12"/>
      <c r="D2041" s="15"/>
      <c r="E2041" s="19"/>
      <c r="F2041" s="19"/>
      <c r="G2041" s="12"/>
    </row>
    <row r="2042" spans="2:7" x14ac:dyDescent="0.25">
      <c r="B2042" s="12"/>
      <c r="C2042" s="12"/>
      <c r="D2042" s="15"/>
      <c r="E2042" s="19"/>
      <c r="F2042" s="19"/>
      <c r="G2042" s="12"/>
    </row>
    <row r="2043" spans="2:7" x14ac:dyDescent="0.25">
      <c r="B2043" s="12"/>
      <c r="C2043" s="12"/>
      <c r="D2043" s="15"/>
      <c r="E2043" s="19"/>
      <c r="F2043" s="19"/>
      <c r="G2043" s="12"/>
    </row>
    <row r="2044" spans="2:7" x14ac:dyDescent="0.25">
      <c r="B2044" s="12"/>
      <c r="C2044" s="12"/>
      <c r="D2044" s="15"/>
      <c r="E2044" s="19"/>
      <c r="F2044" s="19"/>
      <c r="G2044" s="12"/>
    </row>
    <row r="2045" spans="2:7" x14ac:dyDescent="0.25">
      <c r="B2045" s="12"/>
      <c r="C2045" s="12"/>
      <c r="D2045" s="15"/>
      <c r="E2045" s="19"/>
      <c r="F2045" s="19"/>
      <c r="G2045" s="12"/>
    </row>
    <row r="2046" spans="2:7" x14ac:dyDescent="0.25">
      <c r="B2046" s="12"/>
      <c r="C2046" s="12"/>
      <c r="D2046" s="15"/>
      <c r="E2046" s="19"/>
      <c r="F2046" s="19"/>
      <c r="G2046" s="12"/>
    </row>
    <row r="2047" spans="2:7" x14ac:dyDescent="0.25">
      <c r="B2047" s="12"/>
      <c r="C2047" s="12"/>
      <c r="D2047" s="15"/>
      <c r="E2047" s="19"/>
      <c r="F2047" s="19"/>
      <c r="G2047" s="12"/>
    </row>
    <row r="2048" spans="2:7" x14ac:dyDescent="0.25">
      <c r="B2048" s="12"/>
      <c r="C2048" s="12"/>
      <c r="D2048" s="15"/>
      <c r="E2048" s="19"/>
      <c r="F2048" s="19"/>
      <c r="G2048" s="12"/>
    </row>
    <row r="2049" spans="2:7" x14ac:dyDescent="0.25">
      <c r="B2049" s="12"/>
      <c r="C2049" s="12"/>
      <c r="D2049" s="15"/>
      <c r="E2049" s="19"/>
      <c r="F2049" s="19"/>
      <c r="G2049" s="12"/>
    </row>
    <row r="2050" spans="2:7" x14ac:dyDescent="0.25">
      <c r="B2050" s="12"/>
      <c r="C2050" s="12"/>
      <c r="D2050" s="15"/>
      <c r="E2050" s="19"/>
      <c r="F2050" s="19"/>
      <c r="G2050" s="12"/>
    </row>
    <row r="2051" spans="2:7" x14ac:dyDescent="0.25">
      <c r="B2051" s="12"/>
      <c r="C2051" s="12"/>
      <c r="D2051" s="15"/>
      <c r="E2051" s="19"/>
      <c r="F2051" s="19"/>
      <c r="G2051" s="12"/>
    </row>
    <row r="2052" spans="2:7" x14ac:dyDescent="0.25">
      <c r="B2052" s="12"/>
      <c r="C2052" s="12"/>
      <c r="D2052" s="15"/>
      <c r="E2052" s="19"/>
      <c r="F2052" s="19"/>
      <c r="G2052" s="12"/>
    </row>
    <row r="2053" spans="2:7" x14ac:dyDescent="0.25">
      <c r="B2053" s="12"/>
      <c r="C2053" s="12"/>
      <c r="D2053" s="15"/>
      <c r="E2053" s="19"/>
      <c r="F2053" s="19"/>
      <c r="G2053" s="12"/>
    </row>
    <row r="2054" spans="2:7" x14ac:dyDescent="0.25">
      <c r="B2054" s="12"/>
      <c r="C2054" s="12"/>
      <c r="D2054" s="15"/>
      <c r="E2054" s="19"/>
      <c r="F2054" s="19"/>
      <c r="G2054" s="12"/>
    </row>
    <row r="2055" spans="2:7" x14ac:dyDescent="0.25">
      <c r="B2055" s="12"/>
      <c r="C2055" s="12"/>
      <c r="D2055" s="15"/>
      <c r="E2055" s="19"/>
      <c r="F2055" s="19"/>
      <c r="G2055" s="12"/>
    </row>
    <row r="2056" spans="2:7" x14ac:dyDescent="0.25">
      <c r="B2056" s="12"/>
      <c r="C2056" s="12"/>
      <c r="D2056" s="15"/>
      <c r="E2056" s="19"/>
      <c r="F2056" s="19"/>
      <c r="G2056" s="12"/>
    </row>
    <row r="2057" spans="2:7" x14ac:dyDescent="0.25">
      <c r="B2057" s="12"/>
      <c r="C2057" s="12"/>
      <c r="D2057" s="15"/>
      <c r="E2057" s="19"/>
      <c r="F2057" s="19"/>
      <c r="G2057" s="12"/>
    </row>
    <row r="2058" spans="2:7" x14ac:dyDescent="0.25">
      <c r="B2058" s="12"/>
      <c r="C2058" s="12"/>
      <c r="D2058" s="15"/>
      <c r="E2058" s="19"/>
      <c r="F2058" s="19"/>
      <c r="G2058" s="12"/>
    </row>
    <row r="2059" spans="2:7" x14ac:dyDescent="0.25">
      <c r="B2059" s="12"/>
      <c r="C2059" s="12"/>
      <c r="D2059" s="15"/>
      <c r="E2059" s="19"/>
      <c r="F2059" s="19"/>
      <c r="G2059" s="12"/>
    </row>
    <row r="2060" spans="2:7" x14ac:dyDescent="0.25">
      <c r="B2060" s="12"/>
      <c r="C2060" s="12"/>
      <c r="D2060" s="15"/>
      <c r="E2060" s="19"/>
      <c r="F2060" s="19"/>
      <c r="G2060" s="12"/>
    </row>
    <row r="2061" spans="2:7" x14ac:dyDescent="0.25">
      <c r="B2061" s="12"/>
      <c r="C2061" s="12"/>
      <c r="D2061" s="15"/>
      <c r="E2061" s="19"/>
      <c r="F2061" s="19"/>
      <c r="G2061" s="12"/>
    </row>
    <row r="2062" spans="2:7" x14ac:dyDescent="0.25">
      <c r="B2062" s="12"/>
      <c r="C2062" s="12"/>
      <c r="D2062" s="15"/>
      <c r="E2062" s="19"/>
      <c r="F2062" s="19"/>
      <c r="G2062" s="12"/>
    </row>
    <row r="2063" spans="2:7" x14ac:dyDescent="0.25">
      <c r="B2063" s="12"/>
      <c r="C2063" s="12"/>
      <c r="D2063" s="15"/>
      <c r="E2063" s="19"/>
      <c r="F2063" s="19"/>
      <c r="G2063" s="12"/>
    </row>
    <row r="2064" spans="2:7" x14ac:dyDescent="0.25">
      <c r="B2064" s="12"/>
      <c r="C2064" s="12"/>
      <c r="D2064" s="15"/>
      <c r="E2064" s="19"/>
      <c r="F2064" s="19"/>
      <c r="G2064" s="12"/>
    </row>
    <row r="2065" spans="2:7" x14ac:dyDescent="0.25">
      <c r="B2065" s="12"/>
      <c r="C2065" s="12"/>
      <c r="D2065" s="15"/>
      <c r="E2065" s="19"/>
      <c r="F2065" s="19"/>
      <c r="G2065" s="12"/>
    </row>
    <row r="2066" spans="2:7" x14ac:dyDescent="0.25">
      <c r="B2066" s="12"/>
      <c r="C2066" s="12"/>
      <c r="D2066" s="15"/>
      <c r="E2066" s="19"/>
      <c r="F2066" s="19"/>
      <c r="G2066" s="12"/>
    </row>
    <row r="2067" spans="2:7" x14ac:dyDescent="0.25">
      <c r="B2067" s="12"/>
      <c r="C2067" s="12"/>
      <c r="D2067" s="15"/>
      <c r="E2067" s="19"/>
      <c r="F2067" s="19"/>
      <c r="G2067" s="12"/>
    </row>
    <row r="2068" spans="2:7" x14ac:dyDescent="0.25">
      <c r="B2068" s="12"/>
      <c r="C2068" s="12"/>
      <c r="D2068" s="15"/>
      <c r="E2068" s="19"/>
      <c r="F2068" s="19"/>
      <c r="G2068" s="12"/>
    </row>
    <row r="2069" spans="2:7" x14ac:dyDescent="0.25">
      <c r="B2069" s="12"/>
      <c r="C2069" s="12"/>
      <c r="D2069" s="15"/>
      <c r="E2069" s="19"/>
      <c r="F2069" s="19"/>
      <c r="G2069" s="12"/>
    </row>
    <row r="2070" spans="2:7" x14ac:dyDescent="0.25">
      <c r="B2070" s="12"/>
      <c r="C2070" s="12"/>
      <c r="D2070" s="15"/>
      <c r="E2070" s="19"/>
      <c r="F2070" s="19"/>
      <c r="G2070" s="12"/>
    </row>
    <row r="2071" spans="2:7" x14ac:dyDescent="0.25">
      <c r="B2071" s="12"/>
      <c r="C2071" s="12"/>
      <c r="D2071" s="15"/>
      <c r="E2071" s="19"/>
      <c r="F2071" s="19"/>
      <c r="G2071" s="12"/>
    </row>
    <row r="2072" spans="2:7" x14ac:dyDescent="0.25">
      <c r="B2072" s="12"/>
      <c r="C2072" s="12"/>
      <c r="D2072" s="15"/>
      <c r="E2072" s="19"/>
      <c r="F2072" s="19"/>
      <c r="G2072" s="12"/>
    </row>
    <row r="2073" spans="2:7" x14ac:dyDescent="0.25">
      <c r="B2073" s="12"/>
      <c r="C2073" s="12"/>
      <c r="D2073" s="15"/>
      <c r="E2073" s="19"/>
      <c r="F2073" s="19"/>
      <c r="G2073" s="12"/>
    </row>
    <row r="2074" spans="2:7" x14ac:dyDescent="0.25">
      <c r="B2074" s="12"/>
      <c r="C2074" s="12"/>
      <c r="D2074" s="15"/>
      <c r="E2074" s="19"/>
      <c r="F2074" s="19"/>
      <c r="G2074" s="12"/>
    </row>
    <row r="2075" spans="2:7" x14ac:dyDescent="0.25">
      <c r="B2075" s="12"/>
      <c r="C2075" s="12"/>
      <c r="D2075" s="15"/>
      <c r="E2075" s="19"/>
      <c r="F2075" s="19"/>
      <c r="G2075" s="12"/>
    </row>
    <row r="2076" spans="2:7" x14ac:dyDescent="0.25">
      <c r="B2076" s="12"/>
      <c r="C2076" s="12"/>
      <c r="D2076" s="15"/>
      <c r="E2076" s="19"/>
      <c r="F2076" s="19"/>
      <c r="G2076" s="12"/>
    </row>
    <row r="2077" spans="2:7" x14ac:dyDescent="0.25">
      <c r="B2077" s="12"/>
      <c r="C2077" s="12"/>
      <c r="D2077" s="15"/>
      <c r="E2077" s="19"/>
      <c r="F2077" s="19"/>
      <c r="G2077" s="12"/>
    </row>
    <row r="2078" spans="2:7" x14ac:dyDescent="0.25">
      <c r="B2078" s="12"/>
      <c r="C2078" s="12"/>
      <c r="D2078" s="15"/>
      <c r="E2078" s="19"/>
      <c r="F2078" s="19"/>
      <c r="G2078" s="12"/>
    </row>
    <row r="2079" spans="2:7" x14ac:dyDescent="0.25">
      <c r="B2079" s="12"/>
      <c r="C2079" s="12"/>
      <c r="D2079" s="15"/>
      <c r="E2079" s="19"/>
      <c r="F2079" s="19"/>
      <c r="G2079" s="12"/>
    </row>
    <row r="2080" spans="2:7" x14ac:dyDescent="0.25">
      <c r="B2080" s="12"/>
      <c r="C2080" s="12"/>
      <c r="D2080" s="15"/>
      <c r="E2080" s="19"/>
      <c r="F2080" s="19"/>
      <c r="G2080" s="12"/>
    </row>
    <row r="2081" spans="2:7" x14ac:dyDescent="0.25">
      <c r="B2081" s="12"/>
      <c r="C2081" s="12"/>
      <c r="D2081" s="15"/>
      <c r="E2081" s="19"/>
      <c r="F2081" s="19"/>
      <c r="G2081" s="12"/>
    </row>
    <row r="2082" spans="2:7" x14ac:dyDescent="0.25">
      <c r="B2082" s="12"/>
      <c r="C2082" s="12"/>
      <c r="D2082" s="15"/>
      <c r="E2082" s="19"/>
      <c r="F2082" s="19"/>
      <c r="G2082" s="12"/>
    </row>
    <row r="2083" spans="2:7" x14ac:dyDescent="0.25">
      <c r="B2083" s="12"/>
      <c r="C2083" s="12"/>
      <c r="D2083" s="15"/>
      <c r="E2083" s="19"/>
      <c r="F2083" s="19"/>
      <c r="G2083" s="12"/>
    </row>
    <row r="2084" spans="2:7" x14ac:dyDescent="0.25">
      <c r="B2084" s="12"/>
      <c r="C2084" s="12"/>
      <c r="D2084" s="15"/>
      <c r="E2084" s="19"/>
      <c r="F2084" s="19"/>
      <c r="G2084" s="12"/>
    </row>
    <row r="2085" spans="2:7" x14ac:dyDescent="0.25">
      <c r="B2085" s="12"/>
      <c r="C2085" s="12"/>
      <c r="D2085" s="15"/>
      <c r="E2085" s="19"/>
      <c r="F2085" s="19"/>
      <c r="G2085" s="12"/>
    </row>
    <row r="2086" spans="2:7" x14ac:dyDescent="0.25">
      <c r="B2086" s="12"/>
      <c r="C2086" s="12"/>
      <c r="D2086" s="15"/>
      <c r="E2086" s="19"/>
      <c r="F2086" s="19"/>
      <c r="G2086" s="12"/>
    </row>
    <row r="2087" spans="2:7" x14ac:dyDescent="0.25">
      <c r="B2087" s="12"/>
      <c r="C2087" s="12"/>
      <c r="D2087" s="15"/>
      <c r="E2087" s="19"/>
      <c r="F2087" s="19"/>
      <c r="G2087" s="12"/>
    </row>
    <row r="2088" spans="2:7" x14ac:dyDescent="0.25">
      <c r="B2088" s="12"/>
      <c r="C2088" s="12"/>
      <c r="D2088" s="15"/>
      <c r="E2088" s="19"/>
      <c r="F2088" s="19"/>
      <c r="G2088" s="12"/>
    </row>
    <row r="2089" spans="2:7" x14ac:dyDescent="0.25">
      <c r="B2089" s="12"/>
      <c r="C2089" s="12"/>
      <c r="D2089" s="15"/>
      <c r="E2089" s="19"/>
      <c r="F2089" s="19"/>
      <c r="G2089" s="12"/>
    </row>
    <row r="2090" spans="2:7" x14ac:dyDescent="0.25">
      <c r="B2090" s="12"/>
      <c r="C2090" s="12"/>
      <c r="D2090" s="15"/>
      <c r="E2090" s="19"/>
      <c r="F2090" s="19"/>
      <c r="G2090" s="12"/>
    </row>
    <row r="2091" spans="2:7" x14ac:dyDescent="0.25">
      <c r="B2091" s="12"/>
      <c r="C2091" s="12"/>
      <c r="D2091" s="15"/>
      <c r="E2091" s="19"/>
      <c r="F2091" s="19"/>
      <c r="G2091" s="12"/>
    </row>
    <row r="2092" spans="2:7" x14ac:dyDescent="0.25">
      <c r="B2092" s="12"/>
      <c r="C2092" s="12"/>
      <c r="D2092" s="15"/>
      <c r="E2092" s="19"/>
      <c r="F2092" s="19"/>
      <c r="G2092" s="12"/>
    </row>
    <row r="2093" spans="2:7" x14ac:dyDescent="0.25">
      <c r="B2093" s="12"/>
      <c r="C2093" s="12"/>
      <c r="D2093" s="15"/>
      <c r="E2093" s="19"/>
      <c r="F2093" s="19"/>
      <c r="G2093" s="12"/>
    </row>
    <row r="2094" spans="2:7" x14ac:dyDescent="0.25">
      <c r="B2094" s="12"/>
      <c r="C2094" s="12"/>
      <c r="D2094" s="15"/>
      <c r="E2094" s="19"/>
      <c r="F2094" s="19"/>
      <c r="G2094" s="12"/>
    </row>
    <row r="2095" spans="2:7" x14ac:dyDescent="0.25">
      <c r="B2095" s="12"/>
      <c r="C2095" s="12"/>
      <c r="D2095" s="15"/>
      <c r="E2095" s="19"/>
      <c r="F2095" s="19"/>
      <c r="G2095" s="12"/>
    </row>
    <row r="2096" spans="2:7" x14ac:dyDescent="0.25">
      <c r="B2096" s="12"/>
      <c r="C2096" s="12"/>
      <c r="D2096" s="15"/>
      <c r="E2096" s="19"/>
      <c r="F2096" s="19"/>
      <c r="G2096" s="12"/>
    </row>
    <row r="2097" spans="2:7" x14ac:dyDescent="0.25">
      <c r="B2097" s="12"/>
      <c r="C2097" s="12"/>
      <c r="D2097" s="15"/>
      <c r="E2097" s="19"/>
      <c r="F2097" s="19"/>
      <c r="G2097" s="12"/>
    </row>
    <row r="2098" spans="2:7" x14ac:dyDescent="0.25">
      <c r="B2098" s="12"/>
      <c r="C2098" s="12"/>
      <c r="D2098" s="15"/>
      <c r="E2098" s="19"/>
      <c r="F2098" s="19"/>
      <c r="G2098" s="12"/>
    </row>
    <row r="2099" spans="2:7" x14ac:dyDescent="0.25">
      <c r="B2099" s="12"/>
      <c r="C2099" s="12"/>
      <c r="D2099" s="15"/>
      <c r="E2099" s="19"/>
      <c r="F2099" s="19"/>
      <c r="G2099" s="12"/>
    </row>
    <row r="2100" spans="2:7" x14ac:dyDescent="0.25">
      <c r="B2100" s="12"/>
      <c r="C2100" s="12"/>
      <c r="D2100" s="15"/>
      <c r="E2100" s="19"/>
      <c r="F2100" s="19"/>
      <c r="G2100" s="12"/>
    </row>
    <row r="2101" spans="2:7" x14ac:dyDescent="0.25">
      <c r="B2101" s="12"/>
      <c r="C2101" s="12"/>
      <c r="D2101" s="15"/>
      <c r="E2101" s="19"/>
      <c r="F2101" s="19"/>
      <c r="G2101" s="12"/>
    </row>
    <row r="2102" spans="2:7" x14ac:dyDescent="0.25">
      <c r="B2102" s="12"/>
      <c r="C2102" s="12"/>
      <c r="D2102" s="15"/>
      <c r="E2102" s="19"/>
      <c r="F2102" s="19"/>
      <c r="G2102" s="12"/>
    </row>
    <row r="2103" spans="2:7" x14ac:dyDescent="0.25">
      <c r="B2103" s="12"/>
      <c r="C2103" s="12"/>
      <c r="D2103" s="15"/>
      <c r="E2103" s="19"/>
      <c r="F2103" s="19"/>
      <c r="G2103" s="12"/>
    </row>
    <row r="2104" spans="2:7" x14ac:dyDescent="0.25">
      <c r="B2104" s="12"/>
      <c r="C2104" s="12"/>
      <c r="D2104" s="15"/>
      <c r="E2104" s="19"/>
      <c r="F2104" s="19"/>
      <c r="G2104" s="12"/>
    </row>
    <row r="2105" spans="2:7" x14ac:dyDescent="0.25">
      <c r="B2105" s="12"/>
      <c r="C2105" s="12"/>
      <c r="D2105" s="15"/>
      <c r="E2105" s="19"/>
      <c r="F2105" s="19"/>
      <c r="G2105" s="12"/>
    </row>
    <row r="2106" spans="2:7" x14ac:dyDescent="0.25">
      <c r="B2106" s="12"/>
      <c r="C2106" s="12"/>
      <c r="D2106" s="15"/>
      <c r="E2106" s="19"/>
      <c r="F2106" s="19"/>
      <c r="G2106" s="12"/>
    </row>
    <row r="2107" spans="2:7" x14ac:dyDescent="0.25">
      <c r="B2107" s="12"/>
      <c r="C2107" s="12"/>
      <c r="D2107" s="15"/>
      <c r="E2107" s="19"/>
      <c r="F2107" s="19"/>
      <c r="G2107" s="12"/>
    </row>
    <row r="2108" spans="2:7" x14ac:dyDescent="0.25">
      <c r="B2108" s="12"/>
      <c r="C2108" s="12"/>
      <c r="D2108" s="15"/>
      <c r="E2108" s="19"/>
      <c r="F2108" s="19"/>
      <c r="G2108" s="12"/>
    </row>
    <row r="2109" spans="2:7" x14ac:dyDescent="0.25">
      <c r="B2109" s="12"/>
      <c r="C2109" s="12"/>
      <c r="D2109" s="15"/>
      <c r="E2109" s="19"/>
      <c r="F2109" s="19"/>
      <c r="G2109" s="12"/>
    </row>
    <row r="2110" spans="2:7" x14ac:dyDescent="0.25">
      <c r="B2110" s="12"/>
      <c r="C2110" s="12"/>
      <c r="D2110" s="15"/>
      <c r="E2110" s="19"/>
      <c r="F2110" s="19"/>
      <c r="G2110" s="12"/>
    </row>
    <row r="2111" spans="2:7" x14ac:dyDescent="0.25">
      <c r="B2111" s="12"/>
      <c r="C2111" s="12"/>
      <c r="D2111" s="15"/>
      <c r="E2111" s="19"/>
      <c r="F2111" s="19"/>
      <c r="G2111" s="12"/>
    </row>
    <row r="2112" spans="2:7" x14ac:dyDescent="0.25">
      <c r="B2112" s="12"/>
      <c r="C2112" s="12"/>
      <c r="D2112" s="15"/>
      <c r="E2112" s="19"/>
      <c r="F2112" s="19"/>
      <c r="G2112" s="12"/>
    </row>
    <row r="2113" spans="2:7" x14ac:dyDescent="0.25">
      <c r="B2113" s="12"/>
      <c r="C2113" s="12"/>
      <c r="D2113" s="15"/>
      <c r="E2113" s="19"/>
      <c r="F2113" s="19"/>
      <c r="G2113" s="12"/>
    </row>
    <row r="2114" spans="2:7" x14ac:dyDescent="0.25">
      <c r="B2114" s="12"/>
      <c r="C2114" s="12"/>
      <c r="D2114" s="15"/>
      <c r="E2114" s="19"/>
      <c r="F2114" s="19"/>
      <c r="G2114" s="12"/>
    </row>
    <row r="2115" spans="2:7" x14ac:dyDescent="0.25">
      <c r="B2115" s="12"/>
      <c r="C2115" s="12"/>
      <c r="D2115" s="15"/>
      <c r="E2115" s="19"/>
      <c r="F2115" s="19"/>
      <c r="G2115" s="12"/>
    </row>
    <row r="2116" spans="2:7" x14ac:dyDescent="0.25">
      <c r="B2116" s="12"/>
      <c r="C2116" s="12"/>
      <c r="D2116" s="15"/>
      <c r="E2116" s="19"/>
      <c r="F2116" s="19"/>
      <c r="G2116" s="12"/>
    </row>
    <row r="2117" spans="2:7" x14ac:dyDescent="0.25">
      <c r="B2117" s="12"/>
      <c r="C2117" s="12"/>
      <c r="D2117" s="15"/>
      <c r="E2117" s="19"/>
      <c r="F2117" s="19"/>
      <c r="G2117" s="12"/>
    </row>
    <row r="2118" spans="2:7" x14ac:dyDescent="0.25">
      <c r="B2118" s="12"/>
      <c r="C2118" s="12"/>
      <c r="D2118" s="15"/>
      <c r="E2118" s="19"/>
      <c r="F2118" s="19"/>
      <c r="G2118" s="12"/>
    </row>
    <row r="2119" spans="2:7" x14ac:dyDescent="0.25">
      <c r="B2119" s="12"/>
      <c r="C2119" s="12"/>
      <c r="D2119" s="15"/>
      <c r="E2119" s="19"/>
      <c r="F2119" s="19"/>
      <c r="G2119" s="12"/>
    </row>
    <row r="2120" spans="2:7" x14ac:dyDescent="0.25">
      <c r="B2120" s="12"/>
      <c r="C2120" s="12"/>
      <c r="D2120" s="15"/>
      <c r="E2120" s="19"/>
      <c r="F2120" s="19"/>
      <c r="G2120" s="12"/>
    </row>
    <row r="2121" spans="2:7" x14ac:dyDescent="0.25">
      <c r="B2121" s="12"/>
      <c r="C2121" s="12"/>
      <c r="D2121" s="15"/>
      <c r="E2121" s="19"/>
      <c r="F2121" s="19"/>
      <c r="G2121" s="12"/>
    </row>
    <row r="2122" spans="2:7" x14ac:dyDescent="0.25">
      <c r="B2122" s="12"/>
      <c r="C2122" s="12"/>
      <c r="D2122" s="15"/>
      <c r="E2122" s="19"/>
      <c r="F2122" s="19"/>
      <c r="G2122" s="12"/>
    </row>
    <row r="2123" spans="2:7" x14ac:dyDescent="0.25">
      <c r="B2123" s="12"/>
      <c r="C2123" s="12"/>
      <c r="D2123" s="15"/>
      <c r="E2123" s="19"/>
      <c r="F2123" s="19"/>
      <c r="G2123" s="12"/>
    </row>
    <row r="2124" spans="2:7" x14ac:dyDescent="0.25">
      <c r="B2124" s="12"/>
      <c r="C2124" s="12"/>
      <c r="D2124" s="15"/>
      <c r="E2124" s="19"/>
      <c r="F2124" s="19"/>
      <c r="G2124" s="12"/>
    </row>
    <row r="2125" spans="2:7" x14ac:dyDescent="0.25">
      <c r="B2125" s="12"/>
      <c r="C2125" s="12"/>
      <c r="D2125" s="15"/>
      <c r="E2125" s="19"/>
      <c r="F2125" s="19"/>
      <c r="G2125" s="12"/>
    </row>
    <row r="2126" spans="2:7" x14ac:dyDescent="0.25">
      <c r="B2126" s="12"/>
      <c r="C2126" s="12"/>
      <c r="D2126" s="15"/>
      <c r="E2126" s="19"/>
      <c r="F2126" s="19"/>
      <c r="G2126" s="12"/>
    </row>
    <row r="2127" spans="2:7" x14ac:dyDescent="0.25">
      <c r="B2127" s="12"/>
      <c r="C2127" s="12"/>
      <c r="D2127" s="15"/>
      <c r="E2127" s="19"/>
      <c r="F2127" s="19"/>
      <c r="G2127" s="12"/>
    </row>
    <row r="2128" spans="2:7" x14ac:dyDescent="0.25">
      <c r="B2128" s="12"/>
      <c r="C2128" s="12"/>
      <c r="D2128" s="15"/>
      <c r="E2128" s="19"/>
      <c r="F2128" s="19"/>
      <c r="G2128" s="12"/>
    </row>
    <row r="2129" spans="2:7" x14ac:dyDescent="0.25">
      <c r="B2129" s="12"/>
      <c r="C2129" s="12"/>
      <c r="D2129" s="15"/>
      <c r="E2129" s="19"/>
      <c r="F2129" s="19"/>
      <c r="G2129" s="12"/>
    </row>
    <row r="2130" spans="2:7" x14ac:dyDescent="0.25">
      <c r="B2130" s="12"/>
      <c r="C2130" s="12"/>
      <c r="D2130" s="15"/>
      <c r="E2130" s="19"/>
      <c r="F2130" s="19"/>
      <c r="G2130" s="12"/>
    </row>
    <row r="2131" spans="2:7" x14ac:dyDescent="0.25">
      <c r="B2131" s="12"/>
      <c r="C2131" s="12"/>
      <c r="D2131" s="15"/>
      <c r="E2131" s="19"/>
      <c r="F2131" s="19"/>
      <c r="G2131" s="12"/>
    </row>
    <row r="2132" spans="2:7" x14ac:dyDescent="0.25">
      <c r="B2132" s="12"/>
      <c r="C2132" s="12"/>
      <c r="D2132" s="15"/>
      <c r="E2132" s="19"/>
      <c r="F2132" s="19"/>
      <c r="G2132" s="12"/>
    </row>
    <row r="2133" spans="2:7" x14ac:dyDescent="0.25">
      <c r="B2133" s="12"/>
      <c r="C2133" s="12"/>
      <c r="D2133" s="15"/>
      <c r="E2133" s="19"/>
      <c r="F2133" s="19"/>
      <c r="G2133" s="12"/>
    </row>
    <row r="2134" spans="2:7" x14ac:dyDescent="0.25">
      <c r="B2134" s="12"/>
      <c r="C2134" s="12"/>
      <c r="D2134" s="15"/>
      <c r="E2134" s="19"/>
      <c r="F2134" s="19"/>
      <c r="G2134" s="12"/>
    </row>
    <row r="2135" spans="2:7" x14ac:dyDescent="0.25">
      <c r="B2135" s="12"/>
      <c r="C2135" s="12"/>
      <c r="D2135" s="15"/>
      <c r="E2135" s="19"/>
      <c r="F2135" s="19"/>
      <c r="G2135" s="12"/>
    </row>
    <row r="2136" spans="2:7" x14ac:dyDescent="0.25">
      <c r="B2136" s="12"/>
      <c r="C2136" s="12"/>
      <c r="D2136" s="15"/>
      <c r="E2136" s="19"/>
      <c r="F2136" s="19"/>
      <c r="G2136" s="12"/>
    </row>
    <row r="2137" spans="2:7" x14ac:dyDescent="0.25">
      <c r="B2137" s="12"/>
      <c r="C2137" s="12"/>
      <c r="D2137" s="15"/>
      <c r="E2137" s="19"/>
      <c r="F2137" s="19"/>
      <c r="G2137" s="12"/>
    </row>
    <row r="2138" spans="2:7" x14ac:dyDescent="0.25">
      <c r="B2138" s="12"/>
      <c r="C2138" s="12"/>
      <c r="D2138" s="15"/>
      <c r="E2138" s="19"/>
      <c r="F2138" s="19"/>
      <c r="G2138" s="12"/>
    </row>
    <row r="2139" spans="2:7" x14ac:dyDescent="0.25">
      <c r="B2139" s="12"/>
      <c r="C2139" s="12"/>
      <c r="D2139" s="15"/>
      <c r="E2139" s="19"/>
      <c r="F2139" s="19"/>
      <c r="G2139" s="12"/>
    </row>
    <row r="2140" spans="2:7" x14ac:dyDescent="0.25">
      <c r="B2140" s="12"/>
      <c r="C2140" s="12"/>
      <c r="D2140" s="15"/>
      <c r="E2140" s="19"/>
      <c r="F2140" s="19"/>
      <c r="G2140" s="12"/>
    </row>
    <row r="2141" spans="2:7" x14ac:dyDescent="0.25">
      <c r="B2141" s="12"/>
      <c r="C2141" s="12"/>
      <c r="D2141" s="15"/>
      <c r="E2141" s="19"/>
      <c r="F2141" s="19"/>
      <c r="G2141" s="12"/>
    </row>
    <row r="2142" spans="2:7" x14ac:dyDescent="0.25">
      <c r="B2142" s="12"/>
      <c r="C2142" s="12"/>
      <c r="D2142" s="15"/>
      <c r="E2142" s="19"/>
      <c r="F2142" s="19"/>
      <c r="G2142" s="12"/>
    </row>
    <row r="2143" spans="2:7" x14ac:dyDescent="0.25">
      <c r="B2143" s="12"/>
      <c r="C2143" s="12"/>
      <c r="D2143" s="15"/>
      <c r="E2143" s="19"/>
      <c r="F2143" s="19"/>
      <c r="G2143" s="12"/>
    </row>
    <row r="2144" spans="2:7" x14ac:dyDescent="0.25">
      <c r="B2144" s="12"/>
      <c r="C2144" s="12"/>
      <c r="D2144" s="15"/>
      <c r="E2144" s="19"/>
      <c r="F2144" s="19"/>
      <c r="G2144" s="12"/>
    </row>
    <row r="2145" spans="2:7" x14ac:dyDescent="0.25">
      <c r="B2145" s="12"/>
      <c r="C2145" s="12"/>
      <c r="D2145" s="15"/>
      <c r="E2145" s="19"/>
      <c r="F2145" s="19"/>
      <c r="G2145" s="12"/>
    </row>
    <row r="2146" spans="2:7" x14ac:dyDescent="0.25">
      <c r="B2146" s="12"/>
      <c r="C2146" s="12"/>
      <c r="D2146" s="15"/>
      <c r="E2146" s="19"/>
      <c r="F2146" s="19"/>
      <c r="G2146" s="12"/>
    </row>
    <row r="2147" spans="2:7" x14ac:dyDescent="0.25">
      <c r="B2147" s="12"/>
      <c r="C2147" s="12"/>
      <c r="D2147" s="15"/>
      <c r="E2147" s="19"/>
      <c r="F2147" s="19"/>
      <c r="G2147" s="12"/>
    </row>
    <row r="2148" spans="2:7" x14ac:dyDescent="0.25">
      <c r="B2148" s="12"/>
      <c r="C2148" s="12"/>
      <c r="D2148" s="15"/>
      <c r="E2148" s="19"/>
      <c r="F2148" s="19"/>
      <c r="G2148" s="12"/>
    </row>
    <row r="2149" spans="2:7" x14ac:dyDescent="0.25">
      <c r="B2149" s="12"/>
      <c r="C2149" s="12"/>
      <c r="D2149" s="15"/>
      <c r="E2149" s="19"/>
      <c r="F2149" s="19"/>
      <c r="G2149" s="12"/>
    </row>
    <row r="2150" spans="2:7" x14ac:dyDescent="0.25">
      <c r="B2150" s="12"/>
      <c r="C2150" s="12"/>
      <c r="D2150" s="15"/>
      <c r="E2150" s="19"/>
      <c r="F2150" s="19"/>
      <c r="G2150" s="12"/>
    </row>
    <row r="2151" spans="2:7" x14ac:dyDescent="0.25">
      <c r="B2151" s="12"/>
      <c r="C2151" s="12"/>
      <c r="D2151" s="15"/>
      <c r="E2151" s="19"/>
      <c r="F2151" s="19"/>
      <c r="G2151" s="12"/>
    </row>
    <row r="2152" spans="2:7" x14ac:dyDescent="0.25">
      <c r="B2152" s="12"/>
      <c r="C2152" s="12"/>
      <c r="D2152" s="15"/>
      <c r="E2152" s="19"/>
      <c r="F2152" s="19"/>
      <c r="G2152" s="12"/>
    </row>
    <row r="2153" spans="2:7" x14ac:dyDescent="0.25">
      <c r="B2153" s="12"/>
      <c r="C2153" s="12"/>
      <c r="D2153" s="15"/>
      <c r="E2153" s="19"/>
      <c r="F2153" s="19"/>
      <c r="G2153" s="12"/>
    </row>
    <row r="2154" spans="2:7" x14ac:dyDescent="0.25">
      <c r="B2154" s="12"/>
      <c r="C2154" s="12"/>
      <c r="D2154" s="15"/>
      <c r="E2154" s="19"/>
      <c r="F2154" s="19"/>
      <c r="G2154" s="12"/>
    </row>
    <row r="2155" spans="2:7" x14ac:dyDescent="0.25">
      <c r="B2155" s="12"/>
      <c r="C2155" s="12"/>
      <c r="D2155" s="15"/>
      <c r="E2155" s="19"/>
      <c r="F2155" s="19"/>
      <c r="G2155" s="12"/>
    </row>
    <row r="2156" spans="2:7" x14ac:dyDescent="0.25">
      <c r="B2156" s="12"/>
      <c r="C2156" s="12"/>
      <c r="D2156" s="15"/>
      <c r="E2156" s="19"/>
      <c r="F2156" s="19"/>
      <c r="G2156" s="12"/>
    </row>
    <row r="2157" spans="2:7" x14ac:dyDescent="0.25">
      <c r="B2157" s="12"/>
      <c r="C2157" s="12"/>
      <c r="D2157" s="15"/>
      <c r="E2157" s="19"/>
      <c r="F2157" s="19"/>
      <c r="G2157" s="12"/>
    </row>
    <row r="2158" spans="2:7" x14ac:dyDescent="0.25">
      <c r="B2158" s="12"/>
      <c r="C2158" s="12"/>
      <c r="D2158" s="15"/>
      <c r="E2158" s="19"/>
      <c r="F2158" s="19"/>
      <c r="G2158" s="12"/>
    </row>
    <row r="2159" spans="2:7" x14ac:dyDescent="0.25">
      <c r="B2159" s="12"/>
      <c r="C2159" s="12"/>
      <c r="D2159" s="15"/>
      <c r="E2159" s="19"/>
      <c r="F2159" s="19"/>
      <c r="G2159" s="12"/>
    </row>
    <row r="2160" spans="2:7" x14ac:dyDescent="0.25">
      <c r="B2160" s="12"/>
      <c r="C2160" s="12"/>
      <c r="D2160" s="15"/>
      <c r="E2160" s="19"/>
      <c r="F2160" s="19"/>
      <c r="G2160" s="12"/>
    </row>
    <row r="2161" spans="2:7" x14ac:dyDescent="0.25">
      <c r="B2161" s="12"/>
      <c r="C2161" s="12"/>
      <c r="D2161" s="15"/>
      <c r="E2161" s="19"/>
      <c r="F2161" s="19"/>
      <c r="G2161" s="12"/>
    </row>
    <row r="2162" spans="2:7" x14ac:dyDescent="0.25">
      <c r="B2162" s="12"/>
      <c r="C2162" s="12"/>
      <c r="D2162" s="15"/>
      <c r="E2162" s="19"/>
      <c r="F2162" s="19"/>
      <c r="G2162" s="12"/>
    </row>
    <row r="2163" spans="2:7" x14ac:dyDescent="0.25">
      <c r="B2163" s="12"/>
      <c r="C2163" s="12"/>
      <c r="D2163" s="15"/>
      <c r="E2163" s="19"/>
      <c r="F2163" s="19"/>
      <c r="G2163" s="12"/>
    </row>
    <row r="2164" spans="2:7" x14ac:dyDescent="0.25">
      <c r="B2164" s="12"/>
      <c r="C2164" s="12"/>
      <c r="D2164" s="15"/>
      <c r="E2164" s="19"/>
      <c r="F2164" s="19"/>
      <c r="G2164" s="12"/>
    </row>
    <row r="2165" spans="2:7" x14ac:dyDescent="0.25">
      <c r="B2165" s="12"/>
      <c r="C2165" s="12"/>
      <c r="D2165" s="15"/>
      <c r="E2165" s="19"/>
      <c r="F2165" s="19"/>
      <c r="G2165" s="12"/>
    </row>
    <row r="2166" spans="2:7" x14ac:dyDescent="0.25">
      <c r="B2166" s="12"/>
      <c r="C2166" s="12"/>
      <c r="D2166" s="15"/>
      <c r="E2166" s="19"/>
      <c r="F2166" s="19"/>
      <c r="G2166" s="12"/>
    </row>
    <row r="2167" spans="2:7" x14ac:dyDescent="0.25">
      <c r="B2167" s="12"/>
      <c r="C2167" s="12"/>
      <c r="D2167" s="15"/>
      <c r="E2167" s="19"/>
      <c r="F2167" s="19"/>
      <c r="G2167" s="12"/>
    </row>
    <row r="2168" spans="2:7" x14ac:dyDescent="0.25">
      <c r="B2168" s="12"/>
      <c r="C2168" s="12"/>
      <c r="D2168" s="15"/>
      <c r="E2168" s="19"/>
      <c r="F2168" s="19"/>
      <c r="G2168" s="12"/>
    </row>
    <row r="2169" spans="2:7" x14ac:dyDescent="0.25">
      <c r="B2169" s="12"/>
      <c r="C2169" s="12"/>
      <c r="D2169" s="15"/>
      <c r="E2169" s="19"/>
      <c r="F2169" s="19"/>
      <c r="G2169" s="12"/>
    </row>
    <row r="2170" spans="2:7" x14ac:dyDescent="0.25">
      <c r="B2170" s="12"/>
      <c r="C2170" s="12"/>
      <c r="D2170" s="15"/>
      <c r="E2170" s="19"/>
      <c r="F2170" s="19"/>
      <c r="G2170" s="12"/>
    </row>
    <row r="2171" spans="2:7" x14ac:dyDescent="0.25">
      <c r="B2171" s="12"/>
      <c r="C2171" s="12"/>
      <c r="D2171" s="15"/>
      <c r="E2171" s="19"/>
      <c r="F2171" s="19"/>
      <c r="G2171" s="12"/>
    </row>
    <row r="2172" spans="2:7" x14ac:dyDescent="0.25">
      <c r="B2172" s="12"/>
      <c r="C2172" s="12"/>
      <c r="D2172" s="15"/>
      <c r="E2172" s="19"/>
      <c r="F2172" s="19"/>
      <c r="G2172" s="12"/>
    </row>
    <row r="2173" spans="2:7" x14ac:dyDescent="0.25">
      <c r="B2173" s="12"/>
      <c r="C2173" s="12"/>
      <c r="D2173" s="15"/>
      <c r="E2173" s="19"/>
      <c r="F2173" s="19"/>
      <c r="G2173" s="12"/>
    </row>
    <row r="2174" spans="2:7" x14ac:dyDescent="0.25">
      <c r="B2174" s="12"/>
      <c r="C2174" s="12"/>
      <c r="D2174" s="15"/>
      <c r="E2174" s="19"/>
      <c r="F2174" s="19"/>
      <c r="G2174" s="12"/>
    </row>
    <row r="2175" spans="2:7" x14ac:dyDescent="0.25">
      <c r="B2175" s="12"/>
      <c r="C2175" s="12"/>
      <c r="D2175" s="15"/>
      <c r="E2175" s="19"/>
      <c r="F2175" s="19"/>
      <c r="G2175" s="12"/>
    </row>
    <row r="2176" spans="2:7" x14ac:dyDescent="0.25">
      <c r="B2176" s="12"/>
      <c r="C2176" s="12"/>
      <c r="D2176" s="15"/>
      <c r="E2176" s="19"/>
      <c r="F2176" s="19"/>
      <c r="G2176" s="12"/>
    </row>
    <row r="2177" spans="2:7" x14ac:dyDescent="0.25">
      <c r="B2177" s="12"/>
      <c r="C2177" s="12"/>
      <c r="D2177" s="15"/>
      <c r="E2177" s="19"/>
      <c r="F2177" s="19"/>
      <c r="G2177" s="12"/>
    </row>
    <row r="2178" spans="2:7" x14ac:dyDescent="0.25">
      <c r="B2178" s="12"/>
      <c r="C2178" s="12"/>
      <c r="D2178" s="15"/>
      <c r="E2178" s="19"/>
      <c r="F2178" s="19"/>
      <c r="G2178" s="12"/>
    </row>
    <row r="2179" spans="2:7" x14ac:dyDescent="0.25">
      <c r="B2179" s="12"/>
      <c r="C2179" s="12"/>
      <c r="D2179" s="15"/>
      <c r="E2179" s="19"/>
      <c r="F2179" s="19"/>
      <c r="G2179" s="12"/>
    </row>
    <row r="2180" spans="2:7" x14ac:dyDescent="0.25">
      <c r="B2180" s="12"/>
      <c r="C2180" s="12"/>
      <c r="D2180" s="15"/>
      <c r="E2180" s="19"/>
      <c r="F2180" s="19"/>
      <c r="G2180" s="12"/>
    </row>
    <row r="2181" spans="2:7" x14ac:dyDescent="0.25">
      <c r="B2181" s="12"/>
      <c r="C2181" s="12"/>
      <c r="D2181" s="15"/>
      <c r="E2181" s="19"/>
      <c r="F2181" s="19"/>
      <c r="G2181" s="12"/>
    </row>
    <row r="2182" spans="2:7" x14ac:dyDescent="0.25">
      <c r="B2182" s="12"/>
      <c r="C2182" s="12"/>
      <c r="D2182" s="15"/>
      <c r="E2182" s="19"/>
      <c r="F2182" s="19"/>
      <c r="G2182" s="12"/>
    </row>
    <row r="2183" spans="2:7" x14ac:dyDescent="0.25">
      <c r="B2183" s="12"/>
      <c r="C2183" s="12"/>
      <c r="D2183" s="15"/>
      <c r="E2183" s="19"/>
      <c r="F2183" s="19"/>
      <c r="G2183" s="12"/>
    </row>
    <row r="2184" spans="2:7" x14ac:dyDescent="0.25">
      <c r="B2184" s="12"/>
      <c r="C2184" s="12"/>
      <c r="D2184" s="15"/>
      <c r="E2184" s="19"/>
      <c r="F2184" s="19"/>
      <c r="G2184" s="12"/>
    </row>
    <row r="2185" spans="2:7" x14ac:dyDescent="0.25">
      <c r="B2185" s="12"/>
      <c r="C2185" s="12"/>
      <c r="D2185" s="15"/>
      <c r="E2185" s="19"/>
      <c r="F2185" s="19"/>
      <c r="G2185" s="12"/>
    </row>
    <row r="2186" spans="2:7" x14ac:dyDescent="0.25">
      <c r="B2186" s="12"/>
      <c r="C2186" s="12"/>
      <c r="D2186" s="15"/>
      <c r="E2186" s="19"/>
      <c r="F2186" s="19"/>
      <c r="G2186" s="12"/>
    </row>
    <row r="2187" spans="2:7" x14ac:dyDescent="0.25">
      <c r="B2187" s="12"/>
      <c r="C2187" s="12"/>
      <c r="D2187" s="15"/>
      <c r="E2187" s="19"/>
      <c r="F2187" s="19"/>
      <c r="G2187" s="12"/>
    </row>
    <row r="2188" spans="2:7" x14ac:dyDescent="0.25">
      <c r="B2188" s="12"/>
      <c r="C2188" s="12"/>
      <c r="D2188" s="15"/>
      <c r="E2188" s="19"/>
      <c r="F2188" s="19"/>
      <c r="G2188" s="12"/>
    </row>
    <row r="2189" spans="2:7" x14ac:dyDescent="0.25">
      <c r="B2189" s="12"/>
      <c r="C2189" s="12"/>
      <c r="D2189" s="15"/>
      <c r="E2189" s="19"/>
      <c r="F2189" s="19"/>
      <c r="G2189" s="12"/>
    </row>
    <row r="2190" spans="2:7" x14ac:dyDescent="0.25">
      <c r="B2190" s="12"/>
      <c r="C2190" s="12"/>
      <c r="D2190" s="15"/>
      <c r="E2190" s="19"/>
      <c r="F2190" s="19"/>
      <c r="G2190" s="12"/>
    </row>
    <row r="2191" spans="2:7" x14ac:dyDescent="0.25">
      <c r="B2191" s="12"/>
      <c r="C2191" s="12"/>
      <c r="D2191" s="15"/>
      <c r="E2191" s="19"/>
      <c r="F2191" s="19"/>
      <c r="G2191" s="12"/>
    </row>
    <row r="2192" spans="2:7" x14ac:dyDescent="0.25">
      <c r="B2192" s="12"/>
      <c r="C2192" s="12"/>
      <c r="D2192" s="15"/>
      <c r="E2192" s="19"/>
      <c r="F2192" s="19"/>
      <c r="G2192" s="12"/>
    </row>
    <row r="2193" spans="2:7" x14ac:dyDescent="0.25">
      <c r="B2193" s="12"/>
      <c r="C2193" s="12"/>
      <c r="D2193" s="15"/>
      <c r="E2193" s="19"/>
      <c r="F2193" s="19"/>
      <c r="G2193" s="12"/>
    </row>
    <row r="2194" spans="2:7" x14ac:dyDescent="0.25">
      <c r="B2194" s="12"/>
      <c r="C2194" s="12"/>
      <c r="D2194" s="15"/>
      <c r="E2194" s="19"/>
      <c r="F2194" s="19"/>
      <c r="G2194" s="12"/>
    </row>
    <row r="2195" spans="2:7" x14ac:dyDescent="0.25">
      <c r="B2195" s="12"/>
      <c r="C2195" s="12"/>
      <c r="D2195" s="15"/>
      <c r="E2195" s="19"/>
      <c r="F2195" s="19"/>
      <c r="G2195" s="12"/>
    </row>
    <row r="2196" spans="2:7" x14ac:dyDescent="0.25">
      <c r="B2196" s="12"/>
      <c r="C2196" s="12"/>
      <c r="D2196" s="15"/>
      <c r="E2196" s="19"/>
      <c r="F2196" s="19"/>
      <c r="G2196" s="12"/>
    </row>
    <row r="2197" spans="2:7" x14ac:dyDescent="0.25">
      <c r="B2197" s="12"/>
      <c r="C2197" s="12"/>
      <c r="D2197" s="15"/>
      <c r="E2197" s="19"/>
      <c r="F2197" s="19"/>
      <c r="G2197" s="12"/>
    </row>
    <row r="2198" spans="2:7" x14ac:dyDescent="0.25">
      <c r="B2198" s="12"/>
      <c r="C2198" s="12"/>
      <c r="D2198" s="15"/>
      <c r="E2198" s="19"/>
      <c r="F2198" s="19"/>
      <c r="G2198" s="12"/>
    </row>
    <row r="2199" spans="2:7" x14ac:dyDescent="0.25">
      <c r="B2199" s="12"/>
      <c r="C2199" s="12"/>
      <c r="D2199" s="15"/>
      <c r="E2199" s="19"/>
      <c r="F2199" s="19"/>
      <c r="G2199" s="12"/>
    </row>
    <row r="2200" spans="2:7" x14ac:dyDescent="0.25">
      <c r="B2200" s="12"/>
      <c r="C2200" s="12"/>
      <c r="D2200" s="15"/>
      <c r="E2200" s="19"/>
      <c r="F2200" s="19"/>
      <c r="G2200" s="12"/>
    </row>
    <row r="2201" spans="2:7" x14ac:dyDescent="0.25">
      <c r="B2201" s="12"/>
      <c r="C2201" s="12"/>
      <c r="D2201" s="15"/>
      <c r="E2201" s="19"/>
      <c r="F2201" s="19"/>
      <c r="G2201" s="12"/>
    </row>
    <row r="2202" spans="2:7" x14ac:dyDescent="0.25">
      <c r="B2202" s="12"/>
      <c r="C2202" s="12"/>
      <c r="D2202" s="15"/>
      <c r="E2202" s="19"/>
      <c r="F2202" s="19"/>
      <c r="G2202" s="12"/>
    </row>
    <row r="2203" spans="2:7" x14ac:dyDescent="0.25">
      <c r="B2203" s="12"/>
      <c r="C2203" s="12"/>
      <c r="D2203" s="15"/>
      <c r="E2203" s="19"/>
      <c r="F2203" s="19"/>
      <c r="G2203" s="12"/>
    </row>
    <row r="2204" spans="2:7" x14ac:dyDescent="0.25">
      <c r="B2204" s="12"/>
      <c r="C2204" s="12"/>
      <c r="D2204" s="15"/>
      <c r="E2204" s="19"/>
      <c r="F2204" s="19"/>
      <c r="G2204" s="12"/>
    </row>
    <row r="2205" spans="2:7" x14ac:dyDescent="0.25">
      <c r="B2205" s="12"/>
      <c r="C2205" s="12"/>
      <c r="D2205" s="15"/>
      <c r="E2205" s="19"/>
      <c r="F2205" s="19"/>
      <c r="G2205" s="12"/>
    </row>
    <row r="2206" spans="2:7" x14ac:dyDescent="0.25">
      <c r="B2206" s="12"/>
      <c r="C2206" s="12"/>
      <c r="D2206" s="15"/>
      <c r="E2206" s="19"/>
      <c r="F2206" s="19"/>
      <c r="G2206" s="12"/>
    </row>
    <row r="2207" spans="2:7" x14ac:dyDescent="0.25">
      <c r="B2207" s="12"/>
      <c r="C2207" s="12"/>
      <c r="D2207" s="15"/>
      <c r="E2207" s="19"/>
      <c r="F2207" s="19"/>
      <c r="G2207" s="12"/>
    </row>
    <row r="2208" spans="2:7" x14ac:dyDescent="0.25">
      <c r="B2208" s="12"/>
      <c r="C2208" s="12"/>
      <c r="D2208" s="15"/>
      <c r="E2208" s="19"/>
      <c r="F2208" s="19"/>
      <c r="G2208" s="12"/>
    </row>
    <row r="2209" spans="2:7" x14ac:dyDescent="0.25">
      <c r="B2209" s="12"/>
      <c r="C2209" s="12"/>
      <c r="D2209" s="15"/>
      <c r="E2209" s="19"/>
      <c r="F2209" s="19"/>
      <c r="G2209" s="12"/>
    </row>
    <row r="2210" spans="2:7" x14ac:dyDescent="0.25">
      <c r="B2210" s="12"/>
      <c r="C2210" s="12"/>
      <c r="D2210" s="15"/>
      <c r="E2210" s="19"/>
      <c r="F2210" s="19"/>
      <c r="G2210" s="12"/>
    </row>
    <row r="2211" spans="2:7" x14ac:dyDescent="0.25">
      <c r="B2211" s="12"/>
      <c r="C2211" s="12"/>
      <c r="D2211" s="15"/>
      <c r="E2211" s="19"/>
      <c r="F2211" s="19"/>
      <c r="G2211" s="12"/>
    </row>
    <row r="2212" spans="2:7" x14ac:dyDescent="0.25">
      <c r="B2212" s="12"/>
      <c r="C2212" s="12"/>
      <c r="D2212" s="15"/>
      <c r="E2212" s="19"/>
      <c r="F2212" s="19"/>
      <c r="G2212" s="12"/>
    </row>
    <row r="2213" spans="2:7" x14ac:dyDescent="0.25">
      <c r="B2213" s="12"/>
      <c r="C2213" s="12"/>
      <c r="D2213" s="15"/>
      <c r="E2213" s="19"/>
      <c r="F2213" s="19"/>
      <c r="G2213" s="12"/>
    </row>
    <row r="2214" spans="2:7" x14ac:dyDescent="0.25">
      <c r="B2214" s="12"/>
      <c r="C2214" s="12"/>
      <c r="D2214" s="15"/>
      <c r="E2214" s="19"/>
      <c r="F2214" s="19"/>
      <c r="G2214" s="12"/>
    </row>
    <row r="2215" spans="2:7" x14ac:dyDescent="0.25">
      <c r="B2215" s="12"/>
      <c r="C2215" s="12"/>
      <c r="D2215" s="15"/>
      <c r="E2215" s="19"/>
      <c r="F2215" s="19"/>
      <c r="G2215" s="12"/>
    </row>
    <row r="2216" spans="2:7" x14ac:dyDescent="0.25">
      <c r="B2216" s="12"/>
      <c r="C2216" s="12"/>
      <c r="D2216" s="15"/>
      <c r="E2216" s="19"/>
      <c r="F2216" s="19"/>
      <c r="G2216" s="12"/>
    </row>
    <row r="2217" spans="2:7" x14ac:dyDescent="0.25">
      <c r="B2217" s="12"/>
      <c r="C2217" s="12"/>
      <c r="D2217" s="15"/>
      <c r="E2217" s="19"/>
      <c r="F2217" s="19"/>
      <c r="G2217" s="12"/>
    </row>
    <row r="2218" spans="2:7" x14ac:dyDescent="0.25">
      <c r="B2218" s="12"/>
      <c r="C2218" s="12"/>
      <c r="D2218" s="15"/>
      <c r="E2218" s="19"/>
      <c r="F2218" s="19"/>
      <c r="G2218" s="12"/>
    </row>
    <row r="2219" spans="2:7" x14ac:dyDescent="0.25">
      <c r="B2219" s="12"/>
      <c r="C2219" s="12"/>
      <c r="D2219" s="15"/>
      <c r="E2219" s="19"/>
      <c r="F2219" s="19"/>
      <c r="G2219" s="12"/>
    </row>
    <row r="2220" spans="2:7" x14ac:dyDescent="0.25">
      <c r="B2220" s="12"/>
      <c r="C2220" s="12"/>
      <c r="D2220" s="15"/>
      <c r="E2220" s="19"/>
      <c r="F2220" s="19"/>
      <c r="G2220" s="12"/>
    </row>
    <row r="2221" spans="2:7" x14ac:dyDescent="0.25">
      <c r="B2221" s="12"/>
      <c r="C2221" s="12"/>
      <c r="D2221" s="15"/>
      <c r="E2221" s="19"/>
      <c r="F2221" s="19"/>
      <c r="G2221" s="12"/>
    </row>
    <row r="2222" spans="2:7" x14ac:dyDescent="0.25">
      <c r="B2222" s="12"/>
      <c r="C2222" s="12"/>
      <c r="D2222" s="15"/>
      <c r="E2222" s="19"/>
      <c r="F2222" s="19"/>
      <c r="G2222" s="12"/>
    </row>
    <row r="2223" spans="2:7" x14ac:dyDescent="0.25">
      <c r="B2223" s="12"/>
      <c r="C2223" s="12"/>
      <c r="D2223" s="15"/>
      <c r="E2223" s="19"/>
      <c r="F2223" s="19"/>
      <c r="G2223" s="12"/>
    </row>
    <row r="2224" spans="2:7" x14ac:dyDescent="0.25">
      <c r="B2224" s="12"/>
      <c r="C2224" s="12"/>
      <c r="D2224" s="15"/>
      <c r="E2224" s="19"/>
      <c r="F2224" s="19"/>
      <c r="G2224" s="12"/>
    </row>
    <row r="2225" spans="2:7" x14ac:dyDescent="0.25">
      <c r="B2225" s="12"/>
      <c r="C2225" s="12"/>
      <c r="D2225" s="15"/>
      <c r="E2225" s="19"/>
      <c r="F2225" s="19"/>
      <c r="G2225" s="12"/>
    </row>
    <row r="2226" spans="2:7" x14ac:dyDescent="0.25">
      <c r="B2226" s="12"/>
      <c r="C2226" s="12"/>
      <c r="D2226" s="15"/>
      <c r="E2226" s="19"/>
      <c r="F2226" s="19"/>
      <c r="G2226" s="12"/>
    </row>
    <row r="2227" spans="2:7" x14ac:dyDescent="0.25">
      <c r="B2227" s="12"/>
      <c r="C2227" s="12"/>
      <c r="D2227" s="15"/>
      <c r="E2227" s="19"/>
      <c r="F2227" s="19"/>
      <c r="G2227" s="12"/>
    </row>
    <row r="2228" spans="2:7" x14ac:dyDescent="0.25">
      <c r="B2228" s="12"/>
      <c r="C2228" s="12"/>
      <c r="D2228" s="15"/>
      <c r="E2228" s="19"/>
      <c r="F2228" s="19"/>
      <c r="G2228" s="12"/>
    </row>
    <row r="2229" spans="2:7" x14ac:dyDescent="0.25">
      <c r="B2229" s="12"/>
      <c r="C2229" s="12"/>
      <c r="D2229" s="15"/>
      <c r="E2229" s="19"/>
      <c r="F2229" s="19"/>
      <c r="G2229" s="12"/>
    </row>
    <row r="2230" spans="2:7" x14ac:dyDescent="0.25">
      <c r="B2230" s="12"/>
      <c r="C2230" s="12"/>
      <c r="D2230" s="15"/>
      <c r="E2230" s="19"/>
      <c r="F2230" s="19"/>
      <c r="G2230" s="12"/>
    </row>
    <row r="2231" spans="2:7" x14ac:dyDescent="0.25">
      <c r="B2231" s="12"/>
      <c r="C2231" s="12"/>
      <c r="D2231" s="15"/>
      <c r="E2231" s="19"/>
      <c r="F2231" s="19"/>
      <c r="G2231" s="12"/>
    </row>
    <row r="2232" spans="2:7" x14ac:dyDescent="0.25">
      <c r="B2232" s="12"/>
      <c r="C2232" s="12"/>
      <c r="D2232" s="15"/>
      <c r="E2232" s="19"/>
      <c r="F2232" s="19"/>
      <c r="G2232" s="12"/>
    </row>
    <row r="2233" spans="2:7" x14ac:dyDescent="0.25">
      <c r="B2233" s="12"/>
      <c r="C2233" s="12"/>
      <c r="D2233" s="15"/>
      <c r="E2233" s="19"/>
      <c r="F2233" s="19"/>
      <c r="G2233" s="12"/>
    </row>
    <row r="2234" spans="2:7" x14ac:dyDescent="0.25">
      <c r="B2234" s="12"/>
      <c r="C2234" s="12"/>
      <c r="D2234" s="15"/>
      <c r="E2234" s="19"/>
      <c r="F2234" s="19"/>
      <c r="G2234" s="12"/>
    </row>
    <row r="2235" spans="2:7" x14ac:dyDescent="0.25">
      <c r="B2235" s="12"/>
      <c r="C2235" s="12"/>
      <c r="D2235" s="15"/>
      <c r="E2235" s="19"/>
      <c r="F2235" s="19"/>
      <c r="G2235" s="12"/>
    </row>
    <row r="2236" spans="2:7" x14ac:dyDescent="0.25">
      <c r="B2236" s="12"/>
      <c r="C2236" s="12"/>
      <c r="D2236" s="15"/>
      <c r="E2236" s="19"/>
      <c r="F2236" s="19"/>
      <c r="G2236" s="12"/>
    </row>
    <row r="2237" spans="2:7" x14ac:dyDescent="0.25">
      <c r="B2237" s="12"/>
      <c r="C2237" s="12"/>
      <c r="D2237" s="15"/>
      <c r="E2237" s="19"/>
      <c r="F2237" s="19"/>
      <c r="G2237" s="12"/>
    </row>
    <row r="2238" spans="2:7" x14ac:dyDescent="0.25">
      <c r="B2238" s="12"/>
      <c r="C2238" s="12"/>
      <c r="D2238" s="15"/>
      <c r="E2238" s="19"/>
      <c r="F2238" s="19"/>
      <c r="G2238" s="12"/>
    </row>
    <row r="2239" spans="2:7" x14ac:dyDescent="0.25">
      <c r="B2239" s="12"/>
      <c r="C2239" s="12"/>
      <c r="D2239" s="15"/>
      <c r="E2239" s="19"/>
      <c r="F2239" s="19"/>
      <c r="G2239" s="12"/>
    </row>
    <row r="2240" spans="2:7" x14ac:dyDescent="0.25">
      <c r="B2240" s="12"/>
      <c r="C2240" s="12"/>
      <c r="D2240" s="15"/>
      <c r="E2240" s="19"/>
      <c r="F2240" s="19"/>
      <c r="G2240" s="12"/>
    </row>
    <row r="2241" spans="2:7" x14ac:dyDescent="0.25">
      <c r="B2241" s="12"/>
      <c r="C2241" s="12"/>
      <c r="D2241" s="15"/>
      <c r="E2241" s="19"/>
      <c r="F2241" s="19"/>
      <c r="G2241" s="12"/>
    </row>
    <row r="2242" spans="2:7" x14ac:dyDescent="0.25">
      <c r="B2242" s="12"/>
      <c r="C2242" s="12"/>
      <c r="D2242" s="15"/>
      <c r="E2242" s="19"/>
      <c r="F2242" s="19"/>
      <c r="G2242" s="12"/>
    </row>
    <row r="2243" spans="2:7" x14ac:dyDescent="0.25">
      <c r="B2243" s="12"/>
      <c r="C2243" s="12"/>
      <c r="D2243" s="15"/>
      <c r="E2243" s="19"/>
      <c r="F2243" s="19"/>
      <c r="G2243" s="12"/>
    </row>
    <row r="2244" spans="2:7" x14ac:dyDescent="0.25">
      <c r="B2244" s="12"/>
      <c r="C2244" s="12"/>
      <c r="D2244" s="15"/>
      <c r="E2244" s="19"/>
      <c r="F2244" s="19"/>
      <c r="G2244" s="12"/>
    </row>
    <row r="2245" spans="2:7" x14ac:dyDescent="0.25">
      <c r="B2245" s="12"/>
      <c r="C2245" s="12"/>
      <c r="D2245" s="15"/>
      <c r="E2245" s="19"/>
      <c r="F2245" s="19"/>
      <c r="G2245" s="12"/>
    </row>
    <row r="2246" spans="2:7" x14ac:dyDescent="0.25">
      <c r="B2246" s="12"/>
      <c r="C2246" s="12"/>
      <c r="D2246" s="15"/>
      <c r="E2246" s="19"/>
      <c r="F2246" s="19"/>
      <c r="G2246" s="12"/>
    </row>
    <row r="2247" spans="2:7" x14ac:dyDescent="0.25">
      <c r="B2247" s="12"/>
      <c r="C2247" s="12"/>
      <c r="D2247" s="15"/>
      <c r="E2247" s="19"/>
      <c r="F2247" s="19"/>
      <c r="G2247" s="12"/>
    </row>
    <row r="2248" spans="2:7" x14ac:dyDescent="0.25">
      <c r="B2248" s="12"/>
      <c r="C2248" s="12"/>
      <c r="D2248" s="15"/>
      <c r="E2248" s="19"/>
      <c r="F2248" s="19"/>
      <c r="G2248" s="12"/>
    </row>
    <row r="2249" spans="2:7" x14ac:dyDescent="0.25">
      <c r="B2249" s="12"/>
      <c r="C2249" s="12"/>
      <c r="D2249" s="15"/>
      <c r="E2249" s="19"/>
      <c r="F2249" s="19"/>
      <c r="G2249" s="12"/>
    </row>
    <row r="2250" spans="2:7" x14ac:dyDescent="0.25">
      <c r="B2250" s="12"/>
      <c r="C2250" s="12"/>
      <c r="D2250" s="15"/>
      <c r="E2250" s="19"/>
      <c r="F2250" s="19"/>
      <c r="G2250" s="12"/>
    </row>
    <row r="2251" spans="2:7" x14ac:dyDescent="0.25">
      <c r="B2251" s="12"/>
      <c r="C2251" s="12"/>
      <c r="D2251" s="15"/>
      <c r="E2251" s="19"/>
      <c r="F2251" s="19"/>
      <c r="G2251" s="12"/>
    </row>
    <row r="2252" spans="2:7" x14ac:dyDescent="0.25">
      <c r="B2252" s="12"/>
      <c r="C2252" s="12"/>
      <c r="D2252" s="15"/>
      <c r="E2252" s="19"/>
      <c r="F2252" s="19"/>
      <c r="G2252" s="12"/>
    </row>
    <row r="2253" spans="2:7" x14ac:dyDescent="0.25">
      <c r="B2253" s="12"/>
      <c r="C2253" s="12"/>
      <c r="D2253" s="15"/>
      <c r="E2253" s="19"/>
      <c r="F2253" s="19"/>
      <c r="G2253" s="12"/>
    </row>
    <row r="2254" spans="2:7" x14ac:dyDescent="0.25">
      <c r="B2254" s="12"/>
      <c r="C2254" s="12"/>
      <c r="D2254" s="15"/>
      <c r="E2254" s="19"/>
      <c r="F2254" s="19"/>
      <c r="G2254" s="12"/>
    </row>
    <row r="2255" spans="2:7" x14ac:dyDescent="0.25">
      <c r="B2255" s="12"/>
      <c r="C2255" s="12"/>
      <c r="D2255" s="15"/>
      <c r="E2255" s="19"/>
      <c r="F2255" s="19"/>
      <c r="G2255" s="12"/>
    </row>
    <row r="2256" spans="2:7" x14ac:dyDescent="0.25">
      <c r="B2256" s="12"/>
      <c r="C2256" s="12"/>
      <c r="D2256" s="15"/>
      <c r="E2256" s="19"/>
      <c r="F2256" s="19"/>
      <c r="G2256" s="12"/>
    </row>
    <row r="2257" spans="2:7" x14ac:dyDescent="0.25">
      <c r="B2257" s="12"/>
      <c r="C2257" s="12"/>
      <c r="D2257" s="15"/>
      <c r="E2257" s="19"/>
      <c r="F2257" s="19"/>
      <c r="G2257" s="12"/>
    </row>
    <row r="2258" spans="2:7" x14ac:dyDescent="0.25">
      <c r="B2258" s="12"/>
      <c r="C2258" s="12"/>
      <c r="D2258" s="15"/>
      <c r="E2258" s="19"/>
      <c r="F2258" s="19"/>
      <c r="G2258" s="12"/>
    </row>
    <row r="2259" spans="2:7" x14ac:dyDescent="0.25">
      <c r="B2259" s="12"/>
      <c r="C2259" s="12"/>
      <c r="D2259" s="15"/>
      <c r="E2259" s="19"/>
      <c r="F2259" s="19"/>
      <c r="G2259" s="12"/>
    </row>
    <row r="2260" spans="2:7" x14ac:dyDescent="0.25">
      <c r="B2260" s="12"/>
      <c r="C2260" s="12"/>
      <c r="D2260" s="15"/>
      <c r="E2260" s="19"/>
      <c r="F2260" s="19"/>
      <c r="G2260" s="12"/>
    </row>
    <row r="2261" spans="2:7" x14ac:dyDescent="0.25">
      <c r="B2261" s="12"/>
      <c r="C2261" s="12"/>
      <c r="D2261" s="15"/>
      <c r="E2261" s="19"/>
      <c r="F2261" s="19"/>
      <c r="G2261" s="12"/>
    </row>
    <row r="2262" spans="2:7" x14ac:dyDescent="0.25">
      <c r="B2262" s="12"/>
      <c r="C2262" s="12"/>
      <c r="D2262" s="15"/>
      <c r="E2262" s="19"/>
      <c r="F2262" s="19"/>
      <c r="G2262" s="12"/>
    </row>
    <row r="2263" spans="2:7" x14ac:dyDescent="0.25">
      <c r="B2263" s="12"/>
      <c r="C2263" s="12"/>
      <c r="D2263" s="15"/>
      <c r="E2263" s="19"/>
      <c r="F2263" s="19"/>
      <c r="G2263" s="12"/>
    </row>
    <row r="2264" spans="2:7" x14ac:dyDescent="0.25">
      <c r="B2264" s="12"/>
      <c r="C2264" s="12"/>
      <c r="D2264" s="15"/>
      <c r="E2264" s="19"/>
      <c r="F2264" s="19"/>
      <c r="G2264" s="12"/>
    </row>
    <row r="2265" spans="2:7" x14ac:dyDescent="0.25">
      <c r="B2265" s="12"/>
      <c r="C2265" s="12"/>
      <c r="D2265" s="15"/>
      <c r="E2265" s="19"/>
      <c r="F2265" s="19"/>
      <c r="G2265" s="12"/>
    </row>
    <row r="2266" spans="2:7" x14ac:dyDescent="0.25">
      <c r="B2266" s="12"/>
      <c r="C2266" s="12"/>
      <c r="D2266" s="15"/>
      <c r="E2266" s="19"/>
      <c r="F2266" s="19"/>
      <c r="G2266" s="12"/>
    </row>
    <row r="2267" spans="2:7" x14ac:dyDescent="0.25">
      <c r="B2267" s="12"/>
      <c r="C2267" s="12"/>
      <c r="D2267" s="15"/>
      <c r="E2267" s="19"/>
      <c r="F2267" s="19"/>
      <c r="G2267" s="12"/>
    </row>
    <row r="2268" spans="2:7" x14ac:dyDescent="0.25">
      <c r="B2268" s="12"/>
      <c r="C2268" s="12"/>
      <c r="D2268" s="15"/>
      <c r="E2268" s="19"/>
      <c r="F2268" s="19"/>
      <c r="G2268" s="12"/>
    </row>
    <row r="2269" spans="2:7" x14ac:dyDescent="0.25">
      <c r="B2269" s="12"/>
      <c r="C2269" s="12"/>
      <c r="D2269" s="15"/>
      <c r="E2269" s="19"/>
      <c r="F2269" s="19"/>
      <c r="G2269" s="12"/>
    </row>
    <row r="2270" spans="2:7" x14ac:dyDescent="0.25">
      <c r="B2270" s="12"/>
      <c r="C2270" s="12"/>
      <c r="D2270" s="15"/>
      <c r="E2270" s="19"/>
      <c r="F2270" s="19"/>
      <c r="G2270" s="12"/>
    </row>
    <row r="2271" spans="2:7" x14ac:dyDescent="0.25">
      <c r="B2271" s="12"/>
      <c r="C2271" s="12"/>
      <c r="D2271" s="15"/>
      <c r="E2271" s="19"/>
      <c r="F2271" s="19"/>
      <c r="G2271" s="12"/>
    </row>
    <row r="2272" spans="2:7" x14ac:dyDescent="0.25">
      <c r="B2272" s="12"/>
      <c r="C2272" s="12"/>
      <c r="D2272" s="15"/>
      <c r="E2272" s="19"/>
      <c r="F2272" s="19"/>
      <c r="G2272" s="12"/>
    </row>
    <row r="2273" spans="2:7" x14ac:dyDescent="0.25">
      <c r="B2273" s="12"/>
      <c r="C2273" s="12"/>
      <c r="D2273" s="15"/>
      <c r="E2273" s="19"/>
      <c r="F2273" s="19"/>
      <c r="G2273" s="12"/>
    </row>
    <row r="2274" spans="2:7" x14ac:dyDescent="0.25">
      <c r="B2274" s="12"/>
      <c r="C2274" s="12"/>
      <c r="D2274" s="15"/>
      <c r="E2274" s="19"/>
      <c r="F2274" s="19"/>
      <c r="G2274" s="12"/>
    </row>
    <row r="2275" spans="2:7" x14ac:dyDescent="0.25">
      <c r="B2275" s="12"/>
      <c r="C2275" s="12"/>
      <c r="D2275" s="15"/>
      <c r="E2275" s="19"/>
      <c r="F2275" s="19"/>
      <c r="G2275" s="12"/>
    </row>
    <row r="2276" spans="2:7" x14ac:dyDescent="0.25">
      <c r="B2276" s="12"/>
      <c r="C2276" s="12"/>
      <c r="D2276" s="15"/>
      <c r="E2276" s="19"/>
      <c r="F2276" s="19"/>
      <c r="G2276" s="12"/>
    </row>
    <row r="2277" spans="2:7" x14ac:dyDescent="0.25">
      <c r="B2277" s="12"/>
      <c r="C2277" s="12"/>
      <c r="D2277" s="15"/>
      <c r="E2277" s="19"/>
      <c r="F2277" s="19"/>
      <c r="G2277" s="12"/>
    </row>
    <row r="2278" spans="2:7" x14ac:dyDescent="0.25">
      <c r="B2278" s="12"/>
      <c r="C2278" s="12"/>
      <c r="D2278" s="15"/>
      <c r="E2278" s="19"/>
      <c r="F2278" s="19"/>
      <c r="G2278" s="12"/>
    </row>
    <row r="2279" spans="2:7" x14ac:dyDescent="0.25">
      <c r="B2279" s="12"/>
      <c r="C2279" s="12"/>
      <c r="D2279" s="15"/>
      <c r="E2279" s="19"/>
      <c r="F2279" s="19"/>
      <c r="G2279" s="12"/>
    </row>
    <row r="2280" spans="2:7" x14ac:dyDescent="0.25">
      <c r="B2280" s="12"/>
      <c r="C2280" s="12"/>
      <c r="D2280" s="15"/>
      <c r="E2280" s="19"/>
      <c r="F2280" s="19"/>
      <c r="G2280" s="12"/>
    </row>
    <row r="2281" spans="2:7" x14ac:dyDescent="0.25">
      <c r="B2281" s="12"/>
      <c r="C2281" s="12"/>
      <c r="D2281" s="15"/>
      <c r="E2281" s="19"/>
      <c r="F2281" s="19"/>
      <c r="G2281" s="12"/>
    </row>
    <row r="2282" spans="2:7" x14ac:dyDescent="0.25">
      <c r="B2282" s="12"/>
      <c r="C2282" s="12"/>
      <c r="D2282" s="15"/>
      <c r="E2282" s="19"/>
      <c r="F2282" s="19"/>
      <c r="G2282" s="12"/>
    </row>
    <row r="2283" spans="2:7" x14ac:dyDescent="0.25">
      <c r="B2283" s="12"/>
      <c r="C2283" s="12"/>
      <c r="D2283" s="15"/>
      <c r="E2283" s="19"/>
      <c r="F2283" s="19"/>
      <c r="G2283" s="12"/>
    </row>
    <row r="2284" spans="2:7" x14ac:dyDescent="0.25">
      <c r="B2284" s="12"/>
      <c r="C2284" s="12"/>
      <c r="D2284" s="15"/>
      <c r="E2284" s="19"/>
      <c r="F2284" s="19"/>
      <c r="G2284" s="12"/>
    </row>
    <row r="2285" spans="2:7" x14ac:dyDescent="0.25">
      <c r="B2285" s="12"/>
      <c r="C2285" s="12"/>
      <c r="D2285" s="15"/>
      <c r="E2285" s="19"/>
      <c r="F2285" s="19"/>
      <c r="G2285" s="12"/>
    </row>
    <row r="2286" spans="2:7" x14ac:dyDescent="0.25">
      <c r="B2286" s="12"/>
      <c r="C2286" s="12"/>
      <c r="D2286" s="15"/>
      <c r="E2286" s="19"/>
      <c r="F2286" s="19"/>
      <c r="G2286" s="12"/>
    </row>
    <row r="2287" spans="2:7" x14ac:dyDescent="0.25">
      <c r="B2287" s="12"/>
      <c r="C2287" s="12"/>
      <c r="D2287" s="15"/>
      <c r="E2287" s="19"/>
      <c r="F2287" s="19"/>
      <c r="G2287" s="12"/>
    </row>
    <row r="2288" spans="2:7" x14ac:dyDescent="0.25">
      <c r="B2288" s="12"/>
      <c r="C2288" s="12"/>
      <c r="D2288" s="15"/>
      <c r="E2288" s="19"/>
      <c r="F2288" s="19"/>
      <c r="G2288" s="12"/>
    </row>
    <row r="2289" spans="2:7" x14ac:dyDescent="0.25">
      <c r="B2289" s="12"/>
      <c r="C2289" s="12"/>
      <c r="D2289" s="15"/>
      <c r="E2289" s="19"/>
      <c r="F2289" s="19"/>
      <c r="G2289" s="12"/>
    </row>
    <row r="2290" spans="2:7" x14ac:dyDescent="0.25">
      <c r="B2290" s="12"/>
      <c r="C2290" s="12"/>
      <c r="D2290" s="15"/>
      <c r="E2290" s="19"/>
      <c r="F2290" s="19"/>
      <c r="G2290" s="12"/>
    </row>
    <row r="2291" spans="2:7" x14ac:dyDescent="0.25">
      <c r="B2291" s="12"/>
      <c r="C2291" s="12"/>
      <c r="D2291" s="15"/>
      <c r="E2291" s="19"/>
      <c r="F2291" s="19"/>
      <c r="G2291" s="12"/>
    </row>
    <row r="2292" spans="2:7" x14ac:dyDescent="0.25">
      <c r="B2292" s="12"/>
      <c r="C2292" s="12"/>
      <c r="D2292" s="15"/>
      <c r="E2292" s="19"/>
      <c r="F2292" s="19"/>
      <c r="G2292" s="12"/>
    </row>
    <row r="2293" spans="2:7" x14ac:dyDescent="0.25">
      <c r="B2293" s="12"/>
      <c r="C2293" s="12"/>
      <c r="D2293" s="15"/>
      <c r="E2293" s="19"/>
      <c r="F2293" s="19"/>
      <c r="G2293" s="12"/>
    </row>
    <row r="2294" spans="2:7" x14ac:dyDescent="0.25">
      <c r="B2294" s="12"/>
      <c r="C2294" s="12"/>
      <c r="D2294" s="15"/>
      <c r="E2294" s="19"/>
      <c r="F2294" s="19"/>
      <c r="G2294" s="12"/>
    </row>
    <row r="2295" spans="2:7" x14ac:dyDescent="0.25">
      <c r="B2295" s="12"/>
      <c r="C2295" s="12"/>
      <c r="D2295" s="15"/>
      <c r="E2295" s="19"/>
      <c r="F2295" s="19"/>
      <c r="G2295" s="12"/>
    </row>
    <row r="2296" spans="2:7" x14ac:dyDescent="0.25">
      <c r="B2296" s="12"/>
      <c r="C2296" s="12"/>
      <c r="D2296" s="15"/>
      <c r="E2296" s="19"/>
      <c r="F2296" s="19"/>
      <c r="G2296" s="12"/>
    </row>
    <row r="2297" spans="2:7" x14ac:dyDescent="0.25">
      <c r="B2297" s="12"/>
      <c r="C2297" s="12"/>
      <c r="D2297" s="15"/>
      <c r="E2297" s="19"/>
      <c r="F2297" s="19"/>
      <c r="G2297" s="12"/>
    </row>
    <row r="2298" spans="2:7" x14ac:dyDescent="0.25">
      <c r="B2298" s="12"/>
      <c r="C2298" s="12"/>
      <c r="D2298" s="15"/>
      <c r="E2298" s="19"/>
      <c r="F2298" s="19"/>
      <c r="G2298" s="12"/>
    </row>
    <row r="2299" spans="2:7" x14ac:dyDescent="0.25">
      <c r="B2299" s="12"/>
      <c r="C2299" s="12"/>
      <c r="D2299" s="15"/>
      <c r="E2299" s="19"/>
      <c r="F2299" s="19"/>
      <c r="G2299" s="12"/>
    </row>
    <row r="2300" spans="2:7" x14ac:dyDescent="0.25">
      <c r="B2300" s="12"/>
      <c r="C2300" s="12"/>
      <c r="D2300" s="15"/>
      <c r="E2300" s="19"/>
      <c r="F2300" s="19"/>
      <c r="G2300" s="12"/>
    </row>
    <row r="2301" spans="2:7" x14ac:dyDescent="0.25">
      <c r="B2301" s="12"/>
      <c r="C2301" s="12"/>
      <c r="D2301" s="15"/>
      <c r="E2301" s="19"/>
      <c r="F2301" s="19"/>
      <c r="G2301" s="12"/>
    </row>
    <row r="2302" spans="2:7" x14ac:dyDescent="0.25">
      <c r="B2302" s="12"/>
      <c r="C2302" s="12"/>
      <c r="D2302" s="15"/>
      <c r="E2302" s="19"/>
      <c r="F2302" s="19"/>
      <c r="G2302" s="12"/>
    </row>
    <row r="2303" spans="2:7" x14ac:dyDescent="0.25">
      <c r="B2303" s="12"/>
      <c r="C2303" s="12"/>
      <c r="D2303" s="15"/>
      <c r="E2303" s="19"/>
      <c r="F2303" s="19"/>
      <c r="G2303" s="12"/>
    </row>
    <row r="2304" spans="2:7" x14ac:dyDescent="0.25">
      <c r="B2304" s="12"/>
      <c r="C2304" s="12"/>
      <c r="D2304" s="15"/>
      <c r="E2304" s="19"/>
      <c r="F2304" s="19"/>
      <c r="G2304" s="12"/>
    </row>
    <row r="2305" spans="2:7" x14ac:dyDescent="0.25">
      <c r="B2305" s="12"/>
      <c r="C2305" s="12"/>
      <c r="D2305" s="15"/>
      <c r="E2305" s="19"/>
      <c r="F2305" s="19"/>
      <c r="G2305" s="12"/>
    </row>
    <row r="2306" spans="2:7" x14ac:dyDescent="0.25">
      <c r="B2306" s="12"/>
      <c r="C2306" s="12"/>
      <c r="D2306" s="15"/>
      <c r="E2306" s="19"/>
      <c r="F2306" s="19"/>
      <c r="G2306" s="12"/>
    </row>
    <row r="2307" spans="2:7" x14ac:dyDescent="0.25">
      <c r="B2307" s="12"/>
      <c r="C2307" s="12"/>
      <c r="D2307" s="15"/>
      <c r="E2307" s="19"/>
      <c r="F2307" s="19"/>
      <c r="G2307" s="12"/>
    </row>
    <row r="2308" spans="2:7" x14ac:dyDescent="0.25">
      <c r="B2308" s="12"/>
      <c r="C2308" s="12"/>
      <c r="D2308" s="15"/>
      <c r="E2308" s="19"/>
      <c r="F2308" s="19"/>
      <c r="G2308" s="12"/>
    </row>
    <row r="2309" spans="2:7" x14ac:dyDescent="0.25">
      <c r="B2309" s="12"/>
      <c r="C2309" s="12"/>
      <c r="D2309" s="15"/>
      <c r="E2309" s="19"/>
      <c r="F2309" s="19"/>
      <c r="G2309" s="12"/>
    </row>
    <row r="2310" spans="2:7" x14ac:dyDescent="0.25">
      <c r="B2310" s="12"/>
      <c r="C2310" s="12"/>
      <c r="D2310" s="15"/>
      <c r="E2310" s="19"/>
      <c r="F2310" s="19"/>
      <c r="G2310" s="12"/>
    </row>
    <row r="2311" spans="2:7" x14ac:dyDescent="0.25">
      <c r="B2311" s="12"/>
      <c r="C2311" s="12"/>
      <c r="D2311" s="15"/>
      <c r="E2311" s="19"/>
      <c r="F2311" s="19"/>
      <c r="G2311" s="12"/>
    </row>
    <row r="2312" spans="2:7" x14ac:dyDescent="0.25">
      <c r="B2312" s="12"/>
      <c r="C2312" s="12"/>
      <c r="D2312" s="15"/>
      <c r="E2312" s="19"/>
      <c r="F2312" s="19"/>
      <c r="G2312" s="12"/>
    </row>
    <row r="2313" spans="2:7" x14ac:dyDescent="0.25">
      <c r="B2313" s="12"/>
      <c r="C2313" s="12"/>
      <c r="D2313" s="15"/>
      <c r="E2313" s="19"/>
      <c r="F2313" s="19"/>
      <c r="G2313" s="12"/>
    </row>
    <row r="2314" spans="2:7" x14ac:dyDescent="0.25">
      <c r="B2314" s="12"/>
      <c r="C2314" s="12"/>
      <c r="D2314" s="15"/>
      <c r="E2314" s="19"/>
      <c r="F2314" s="19"/>
      <c r="G2314" s="12"/>
    </row>
    <row r="2315" spans="2:7" x14ac:dyDescent="0.25">
      <c r="B2315" s="12"/>
      <c r="C2315" s="12"/>
      <c r="D2315" s="15"/>
      <c r="E2315" s="19"/>
      <c r="F2315" s="19"/>
      <c r="G2315" s="12"/>
    </row>
    <row r="2316" spans="2:7" x14ac:dyDescent="0.25">
      <c r="B2316" s="12"/>
      <c r="C2316" s="12"/>
      <c r="D2316" s="15"/>
      <c r="E2316" s="19"/>
      <c r="F2316" s="19"/>
      <c r="G2316" s="12"/>
    </row>
    <row r="2317" spans="2:7" x14ac:dyDescent="0.25">
      <c r="B2317" s="12"/>
      <c r="C2317" s="12"/>
      <c r="D2317" s="15"/>
      <c r="E2317" s="19"/>
      <c r="F2317" s="19"/>
      <c r="G2317" s="12"/>
    </row>
    <row r="2318" spans="2:7" x14ac:dyDescent="0.25">
      <c r="B2318" s="12"/>
      <c r="C2318" s="12"/>
      <c r="D2318" s="15"/>
      <c r="E2318" s="19"/>
      <c r="F2318" s="19"/>
      <c r="G2318" s="12"/>
    </row>
    <row r="2319" spans="2:7" x14ac:dyDescent="0.25">
      <c r="B2319" s="12"/>
      <c r="C2319" s="12"/>
      <c r="D2319" s="15"/>
      <c r="E2319" s="19"/>
      <c r="F2319" s="19"/>
      <c r="G2319" s="12"/>
    </row>
    <row r="2320" spans="2:7" x14ac:dyDescent="0.25">
      <c r="B2320" s="12"/>
      <c r="C2320" s="12"/>
      <c r="D2320" s="15"/>
      <c r="E2320" s="19"/>
      <c r="F2320" s="19"/>
      <c r="G2320" s="12"/>
    </row>
    <row r="2321" spans="2:7" x14ac:dyDescent="0.25">
      <c r="B2321" s="12"/>
      <c r="C2321" s="12"/>
      <c r="D2321" s="15"/>
      <c r="E2321" s="19"/>
      <c r="F2321" s="19"/>
      <c r="G2321" s="12"/>
    </row>
    <row r="2322" spans="2:7" x14ac:dyDescent="0.25">
      <c r="B2322" s="12"/>
      <c r="C2322" s="12"/>
      <c r="D2322" s="15"/>
      <c r="E2322" s="19"/>
      <c r="F2322" s="19"/>
      <c r="G2322" s="12"/>
    </row>
    <row r="2323" spans="2:7" x14ac:dyDescent="0.25">
      <c r="B2323" s="12"/>
      <c r="C2323" s="12"/>
      <c r="D2323" s="15"/>
      <c r="E2323" s="19"/>
      <c r="F2323" s="19"/>
      <c r="G2323" s="12"/>
    </row>
    <row r="2324" spans="2:7" x14ac:dyDescent="0.25">
      <c r="B2324" s="12"/>
      <c r="C2324" s="12"/>
      <c r="D2324" s="15"/>
      <c r="E2324" s="19"/>
      <c r="F2324" s="19"/>
      <c r="G2324" s="12"/>
    </row>
    <row r="2325" spans="2:7" x14ac:dyDescent="0.25">
      <c r="B2325" s="12"/>
      <c r="C2325" s="12"/>
      <c r="D2325" s="15"/>
      <c r="E2325" s="19"/>
      <c r="F2325" s="19"/>
      <c r="G2325" s="12"/>
    </row>
    <row r="2326" spans="2:7" x14ac:dyDescent="0.25">
      <c r="B2326" s="12"/>
      <c r="C2326" s="12"/>
      <c r="D2326" s="15"/>
      <c r="E2326" s="19"/>
      <c r="F2326" s="19"/>
      <c r="G2326" s="12"/>
    </row>
    <row r="2327" spans="2:7" x14ac:dyDescent="0.25">
      <c r="B2327" s="12"/>
      <c r="C2327" s="12"/>
      <c r="D2327" s="15"/>
      <c r="E2327" s="19"/>
      <c r="F2327" s="19"/>
      <c r="G2327" s="12"/>
    </row>
    <row r="2328" spans="2:7" x14ac:dyDescent="0.25">
      <c r="B2328" s="12"/>
      <c r="C2328" s="12"/>
      <c r="D2328" s="15"/>
      <c r="E2328" s="19"/>
      <c r="F2328" s="19"/>
      <c r="G2328" s="12"/>
    </row>
    <row r="2329" spans="2:7" x14ac:dyDescent="0.25">
      <c r="B2329" s="12"/>
      <c r="C2329" s="12"/>
      <c r="D2329" s="15"/>
      <c r="E2329" s="19"/>
      <c r="F2329" s="19"/>
      <c r="G2329" s="12"/>
    </row>
    <row r="2330" spans="2:7" x14ac:dyDescent="0.25">
      <c r="B2330" s="12"/>
      <c r="C2330" s="12"/>
      <c r="D2330" s="15"/>
      <c r="E2330" s="19"/>
      <c r="F2330" s="19"/>
      <c r="G2330" s="12"/>
    </row>
    <row r="2331" spans="2:7" x14ac:dyDescent="0.25">
      <c r="B2331" s="12"/>
      <c r="C2331" s="12"/>
      <c r="D2331" s="15"/>
      <c r="E2331" s="19"/>
      <c r="F2331" s="19"/>
      <c r="G2331" s="12"/>
    </row>
    <row r="2332" spans="2:7" x14ac:dyDescent="0.25">
      <c r="B2332" s="12"/>
      <c r="C2332" s="12"/>
      <c r="D2332" s="15"/>
      <c r="E2332" s="19"/>
      <c r="F2332" s="19"/>
      <c r="G2332" s="12"/>
    </row>
    <row r="2333" spans="2:7" x14ac:dyDescent="0.25">
      <c r="B2333" s="12"/>
      <c r="C2333" s="12"/>
      <c r="D2333" s="15"/>
      <c r="E2333" s="19"/>
      <c r="F2333" s="19"/>
      <c r="G2333" s="12"/>
    </row>
    <row r="2334" spans="2:7" x14ac:dyDescent="0.25">
      <c r="B2334" s="12"/>
      <c r="C2334" s="12"/>
      <c r="D2334" s="15"/>
      <c r="E2334" s="19"/>
      <c r="F2334" s="19"/>
      <c r="G2334" s="12"/>
    </row>
    <row r="2335" spans="2:7" x14ac:dyDescent="0.25">
      <c r="B2335" s="12"/>
      <c r="C2335" s="12"/>
      <c r="D2335" s="15"/>
      <c r="E2335" s="19"/>
      <c r="F2335" s="19"/>
      <c r="G2335" s="12"/>
    </row>
    <row r="2336" spans="2:7" x14ac:dyDescent="0.25">
      <c r="B2336" s="12"/>
      <c r="C2336" s="12"/>
      <c r="D2336" s="15"/>
      <c r="E2336" s="19"/>
      <c r="F2336" s="19"/>
      <c r="G2336" s="12"/>
    </row>
    <row r="2337" spans="2:7" x14ac:dyDescent="0.25">
      <c r="B2337" s="12"/>
      <c r="C2337" s="12"/>
      <c r="D2337" s="15"/>
      <c r="E2337" s="19"/>
      <c r="F2337" s="19"/>
      <c r="G2337" s="12"/>
    </row>
    <row r="2338" spans="2:7" x14ac:dyDescent="0.25">
      <c r="B2338" s="12"/>
      <c r="C2338" s="12"/>
      <c r="D2338" s="15"/>
      <c r="E2338" s="19"/>
      <c r="F2338" s="19"/>
      <c r="G2338" s="12"/>
    </row>
    <row r="2339" spans="2:7" x14ac:dyDescent="0.25">
      <c r="B2339" s="12"/>
      <c r="C2339" s="12"/>
      <c r="D2339" s="15"/>
      <c r="E2339" s="19"/>
      <c r="F2339" s="19"/>
      <c r="G2339" s="12"/>
    </row>
    <row r="2340" spans="2:7" x14ac:dyDescent="0.25">
      <c r="B2340" s="12"/>
      <c r="C2340" s="12"/>
      <c r="D2340" s="15"/>
      <c r="E2340" s="19"/>
      <c r="F2340" s="19"/>
      <c r="G2340" s="12"/>
    </row>
    <row r="2341" spans="2:7" x14ac:dyDescent="0.25">
      <c r="B2341" s="12"/>
      <c r="C2341" s="12"/>
      <c r="D2341" s="15"/>
      <c r="E2341" s="19"/>
      <c r="F2341" s="19"/>
      <c r="G2341" s="12"/>
    </row>
    <row r="2342" spans="2:7" x14ac:dyDescent="0.25">
      <c r="B2342" s="12"/>
      <c r="C2342" s="12"/>
      <c r="D2342" s="15"/>
      <c r="E2342" s="19"/>
      <c r="F2342" s="19"/>
      <c r="G2342" s="12"/>
    </row>
    <row r="2343" spans="2:7" x14ac:dyDescent="0.25">
      <c r="B2343" s="12"/>
      <c r="C2343" s="12"/>
      <c r="D2343" s="15"/>
      <c r="E2343" s="19"/>
      <c r="F2343" s="19"/>
      <c r="G2343" s="12"/>
    </row>
    <row r="2344" spans="2:7" x14ac:dyDescent="0.25">
      <c r="B2344" s="12"/>
      <c r="C2344" s="12"/>
      <c r="D2344" s="15"/>
      <c r="E2344" s="19"/>
      <c r="F2344" s="19"/>
      <c r="G2344" s="12"/>
    </row>
    <row r="2345" spans="2:7" x14ac:dyDescent="0.25">
      <c r="B2345" s="12"/>
      <c r="C2345" s="12"/>
      <c r="D2345" s="15"/>
      <c r="E2345" s="19"/>
      <c r="F2345" s="19"/>
      <c r="G2345" s="12"/>
    </row>
    <row r="2346" spans="2:7" x14ac:dyDescent="0.25">
      <c r="B2346" s="12"/>
      <c r="C2346" s="12"/>
      <c r="D2346" s="15"/>
      <c r="E2346" s="19"/>
      <c r="F2346" s="19"/>
      <c r="G2346" s="12"/>
    </row>
    <row r="2347" spans="2:7" x14ac:dyDescent="0.25">
      <c r="B2347" s="12"/>
      <c r="C2347" s="12"/>
      <c r="D2347" s="15"/>
      <c r="E2347" s="19"/>
      <c r="F2347" s="19"/>
      <c r="G2347" s="12"/>
    </row>
    <row r="2348" spans="2:7" x14ac:dyDescent="0.25">
      <c r="B2348" s="12"/>
      <c r="C2348" s="12"/>
      <c r="D2348" s="15"/>
      <c r="E2348" s="19"/>
      <c r="F2348" s="19"/>
      <c r="G2348" s="12"/>
    </row>
    <row r="2349" spans="2:7" x14ac:dyDescent="0.25">
      <c r="B2349" s="12"/>
      <c r="C2349" s="12"/>
      <c r="D2349" s="15"/>
      <c r="E2349" s="19"/>
      <c r="F2349" s="19"/>
      <c r="G2349" s="12"/>
    </row>
    <row r="2350" spans="2:7" x14ac:dyDescent="0.25">
      <c r="B2350" s="12"/>
      <c r="C2350" s="12"/>
      <c r="D2350" s="15"/>
      <c r="E2350" s="19"/>
      <c r="F2350" s="19"/>
      <c r="G2350" s="12"/>
    </row>
    <row r="2351" spans="2:7" x14ac:dyDescent="0.25">
      <c r="B2351" s="12"/>
      <c r="C2351" s="12"/>
      <c r="D2351" s="15"/>
      <c r="E2351" s="19"/>
      <c r="F2351" s="19"/>
      <c r="G2351" s="12"/>
    </row>
    <row r="2352" spans="2:7" x14ac:dyDescent="0.25">
      <c r="B2352" s="12"/>
      <c r="C2352" s="12"/>
      <c r="D2352" s="15"/>
      <c r="E2352" s="19"/>
      <c r="F2352" s="19"/>
      <c r="G2352" s="12"/>
    </row>
    <row r="2353" spans="2:7" x14ac:dyDescent="0.25">
      <c r="B2353" s="12"/>
      <c r="C2353" s="12"/>
      <c r="D2353" s="15"/>
      <c r="E2353" s="19"/>
      <c r="F2353" s="19"/>
      <c r="G2353" s="12"/>
    </row>
    <row r="2354" spans="2:7" x14ac:dyDescent="0.25">
      <c r="B2354" s="12"/>
      <c r="C2354" s="12"/>
      <c r="D2354" s="15"/>
      <c r="E2354" s="19"/>
      <c r="F2354" s="19"/>
      <c r="G2354" s="12"/>
    </row>
    <row r="2355" spans="2:7" x14ac:dyDescent="0.25">
      <c r="B2355" s="12"/>
      <c r="C2355" s="12"/>
      <c r="D2355" s="15"/>
      <c r="E2355" s="19"/>
      <c r="F2355" s="19"/>
      <c r="G2355" s="12"/>
    </row>
    <row r="2356" spans="2:7" x14ac:dyDescent="0.25">
      <c r="B2356" s="12"/>
      <c r="C2356" s="12"/>
      <c r="D2356" s="15"/>
      <c r="E2356" s="19"/>
      <c r="F2356" s="19"/>
      <c r="G2356" s="12"/>
    </row>
    <row r="2357" spans="2:7" x14ac:dyDescent="0.25">
      <c r="B2357" s="12"/>
      <c r="C2357" s="12"/>
      <c r="D2357" s="15"/>
      <c r="E2357" s="19"/>
      <c r="F2357" s="19"/>
      <c r="G2357" s="12"/>
    </row>
    <row r="2358" spans="2:7" x14ac:dyDescent="0.25">
      <c r="B2358" s="12"/>
      <c r="C2358" s="12"/>
      <c r="D2358" s="15"/>
      <c r="E2358" s="19"/>
      <c r="F2358" s="19"/>
      <c r="G2358" s="12"/>
    </row>
    <row r="2359" spans="2:7" x14ac:dyDescent="0.25">
      <c r="B2359" s="12"/>
      <c r="C2359" s="12"/>
      <c r="D2359" s="15"/>
      <c r="E2359" s="19"/>
      <c r="F2359" s="19"/>
      <c r="G2359" s="12"/>
    </row>
    <row r="2360" spans="2:7" x14ac:dyDescent="0.25">
      <c r="B2360" s="12"/>
      <c r="C2360" s="12"/>
      <c r="D2360" s="15"/>
      <c r="E2360" s="19"/>
      <c r="F2360" s="19"/>
      <c r="G2360" s="12"/>
    </row>
    <row r="2361" spans="2:7" x14ac:dyDescent="0.25">
      <c r="B2361" s="12"/>
      <c r="C2361" s="12"/>
      <c r="D2361" s="15"/>
      <c r="E2361" s="19"/>
      <c r="F2361" s="19"/>
      <c r="G2361" s="12"/>
    </row>
    <row r="2362" spans="2:7" x14ac:dyDescent="0.25">
      <c r="B2362" s="12"/>
      <c r="C2362" s="12"/>
      <c r="D2362" s="15"/>
      <c r="E2362" s="19"/>
      <c r="F2362" s="19"/>
      <c r="G2362" s="12"/>
    </row>
    <row r="2363" spans="2:7" x14ac:dyDescent="0.25">
      <c r="B2363" s="12"/>
      <c r="C2363" s="12"/>
      <c r="D2363" s="15"/>
      <c r="E2363" s="19"/>
      <c r="F2363" s="19"/>
      <c r="G2363" s="12"/>
    </row>
    <row r="2364" spans="2:7" x14ac:dyDescent="0.25">
      <c r="B2364" s="12"/>
      <c r="C2364" s="12"/>
      <c r="D2364" s="15"/>
      <c r="E2364" s="19"/>
      <c r="F2364" s="19"/>
      <c r="G2364" s="12"/>
    </row>
    <row r="2365" spans="2:7" x14ac:dyDescent="0.25">
      <c r="B2365" s="12"/>
      <c r="C2365" s="12"/>
      <c r="D2365" s="15"/>
      <c r="E2365" s="19"/>
      <c r="F2365" s="19"/>
      <c r="G2365" s="12"/>
    </row>
    <row r="2366" spans="2:7" x14ac:dyDescent="0.25">
      <c r="B2366" s="12"/>
      <c r="C2366" s="12"/>
      <c r="D2366" s="15"/>
      <c r="E2366" s="19"/>
      <c r="F2366" s="19"/>
      <c r="G2366" s="12"/>
    </row>
    <row r="2367" spans="2:7" x14ac:dyDescent="0.25">
      <c r="B2367" s="12"/>
      <c r="C2367" s="12"/>
      <c r="D2367" s="15"/>
      <c r="E2367" s="19"/>
      <c r="F2367" s="19"/>
      <c r="G2367" s="12"/>
    </row>
    <row r="2368" spans="2:7" x14ac:dyDescent="0.25">
      <c r="B2368" s="12"/>
      <c r="C2368" s="12"/>
      <c r="D2368" s="15"/>
      <c r="E2368" s="19"/>
      <c r="F2368" s="19"/>
      <c r="G2368" s="12"/>
    </row>
    <row r="2369" spans="2:7" x14ac:dyDescent="0.25">
      <c r="B2369" s="12"/>
      <c r="C2369" s="12"/>
      <c r="D2369" s="15"/>
      <c r="E2369" s="19"/>
      <c r="F2369" s="19"/>
      <c r="G2369" s="12"/>
    </row>
    <row r="2370" spans="2:7" x14ac:dyDescent="0.25">
      <c r="B2370" s="12"/>
      <c r="C2370" s="12"/>
      <c r="D2370" s="15"/>
      <c r="E2370" s="19"/>
      <c r="F2370" s="19"/>
      <c r="G2370" s="12"/>
    </row>
    <row r="2371" spans="2:7" x14ac:dyDescent="0.25">
      <c r="B2371" s="12"/>
      <c r="C2371" s="12"/>
      <c r="D2371" s="15"/>
      <c r="E2371" s="19"/>
      <c r="F2371" s="19"/>
      <c r="G2371" s="12"/>
    </row>
    <row r="2372" spans="2:7" x14ac:dyDescent="0.25">
      <c r="B2372" s="12"/>
      <c r="C2372" s="12"/>
      <c r="D2372" s="15"/>
      <c r="E2372" s="19"/>
      <c r="F2372" s="19"/>
      <c r="G2372" s="12"/>
    </row>
    <row r="2373" spans="2:7" x14ac:dyDescent="0.25">
      <c r="B2373" s="12"/>
      <c r="C2373" s="12"/>
      <c r="D2373" s="15"/>
      <c r="E2373" s="19"/>
      <c r="F2373" s="19"/>
      <c r="G2373" s="12"/>
    </row>
    <row r="2374" spans="2:7" x14ac:dyDescent="0.25">
      <c r="B2374" s="12"/>
      <c r="C2374" s="12"/>
      <c r="D2374" s="15"/>
      <c r="E2374" s="19"/>
      <c r="F2374" s="19"/>
      <c r="G2374" s="12"/>
    </row>
    <row r="2375" spans="2:7" x14ac:dyDescent="0.25">
      <c r="B2375" s="12"/>
      <c r="C2375" s="12"/>
      <c r="D2375" s="15"/>
      <c r="E2375" s="19"/>
      <c r="F2375" s="19"/>
      <c r="G2375" s="12"/>
    </row>
    <row r="2376" spans="2:7" x14ac:dyDescent="0.25">
      <c r="B2376" s="12"/>
      <c r="C2376" s="12"/>
      <c r="D2376" s="15"/>
      <c r="E2376" s="19"/>
      <c r="F2376" s="19"/>
      <c r="G2376" s="12"/>
    </row>
    <row r="2377" spans="2:7" x14ac:dyDescent="0.25">
      <c r="B2377" s="12"/>
      <c r="C2377" s="12"/>
      <c r="D2377" s="15"/>
      <c r="E2377" s="19"/>
      <c r="F2377" s="19"/>
      <c r="G2377" s="12"/>
    </row>
    <row r="2378" spans="2:7" x14ac:dyDescent="0.25">
      <c r="B2378" s="12"/>
      <c r="C2378" s="12"/>
      <c r="D2378" s="15"/>
      <c r="E2378" s="19"/>
      <c r="F2378" s="19"/>
      <c r="G2378" s="12"/>
    </row>
    <row r="2379" spans="2:7" x14ac:dyDescent="0.25">
      <c r="B2379" s="12"/>
      <c r="C2379" s="12"/>
      <c r="D2379" s="15"/>
      <c r="E2379" s="19"/>
      <c r="F2379" s="19"/>
      <c r="G2379" s="12"/>
    </row>
    <row r="2380" spans="2:7" x14ac:dyDescent="0.25">
      <c r="B2380" s="12"/>
      <c r="C2380" s="12"/>
      <c r="D2380" s="15"/>
      <c r="E2380" s="19"/>
      <c r="F2380" s="19"/>
      <c r="G2380" s="12"/>
    </row>
    <row r="2381" spans="2:7" x14ac:dyDescent="0.25">
      <c r="B2381" s="12"/>
      <c r="C2381" s="12"/>
      <c r="D2381" s="15"/>
      <c r="E2381" s="19"/>
      <c r="F2381" s="19"/>
      <c r="G2381" s="12"/>
    </row>
    <row r="2382" spans="2:7" x14ac:dyDescent="0.25">
      <c r="B2382" s="12"/>
      <c r="C2382" s="12"/>
      <c r="D2382" s="15"/>
      <c r="E2382" s="19"/>
      <c r="F2382" s="19"/>
      <c r="G2382" s="12"/>
    </row>
    <row r="2383" spans="2:7" x14ac:dyDescent="0.25">
      <c r="B2383" s="12"/>
      <c r="C2383" s="12"/>
      <c r="D2383" s="15"/>
      <c r="E2383" s="19"/>
      <c r="F2383" s="19"/>
      <c r="G2383" s="12"/>
    </row>
    <row r="2384" spans="2:7" x14ac:dyDescent="0.25">
      <c r="B2384" s="12"/>
      <c r="C2384" s="12"/>
      <c r="D2384" s="15"/>
      <c r="E2384" s="19"/>
      <c r="F2384" s="19"/>
      <c r="G2384" s="12"/>
    </row>
    <row r="2385" spans="2:7" x14ac:dyDescent="0.25">
      <c r="B2385" s="12"/>
      <c r="C2385" s="12"/>
      <c r="D2385" s="15"/>
      <c r="E2385" s="19"/>
      <c r="F2385" s="19"/>
      <c r="G2385" s="12"/>
    </row>
    <row r="2386" spans="2:7" x14ac:dyDescent="0.25">
      <c r="B2386" s="12"/>
      <c r="C2386" s="12"/>
      <c r="D2386" s="15"/>
      <c r="E2386" s="19"/>
      <c r="F2386" s="19"/>
      <c r="G2386" s="12"/>
    </row>
    <row r="2387" spans="2:7" x14ac:dyDescent="0.25">
      <c r="B2387" s="12"/>
      <c r="C2387" s="12"/>
      <c r="D2387" s="15"/>
      <c r="E2387" s="19"/>
      <c r="F2387" s="19"/>
      <c r="G2387" s="12"/>
    </row>
    <row r="2388" spans="2:7" x14ac:dyDescent="0.25">
      <c r="B2388" s="12"/>
      <c r="C2388" s="12"/>
      <c r="D2388" s="15"/>
      <c r="E2388" s="19"/>
      <c r="F2388" s="19"/>
      <c r="G2388" s="12"/>
    </row>
    <row r="2389" spans="2:7" x14ac:dyDescent="0.25">
      <c r="B2389" s="12"/>
      <c r="C2389" s="12"/>
      <c r="D2389" s="15"/>
      <c r="E2389" s="19"/>
      <c r="F2389" s="19"/>
      <c r="G2389" s="12"/>
    </row>
    <row r="2390" spans="2:7" x14ac:dyDescent="0.25">
      <c r="B2390" s="12"/>
      <c r="C2390" s="12"/>
      <c r="D2390" s="15"/>
      <c r="E2390" s="19"/>
      <c r="F2390" s="19"/>
      <c r="G2390" s="12"/>
    </row>
    <row r="2391" spans="2:7" x14ac:dyDescent="0.25">
      <c r="B2391" s="12"/>
      <c r="C2391" s="12"/>
      <c r="D2391" s="15"/>
      <c r="E2391" s="19"/>
      <c r="F2391" s="19"/>
      <c r="G2391" s="12"/>
    </row>
    <row r="2392" spans="2:7" x14ac:dyDescent="0.25">
      <c r="B2392" s="12"/>
      <c r="C2392" s="12"/>
      <c r="D2392" s="15"/>
      <c r="E2392" s="19"/>
      <c r="F2392" s="19"/>
      <c r="G2392" s="12"/>
    </row>
    <row r="2393" spans="2:7" x14ac:dyDescent="0.25">
      <c r="B2393" s="12"/>
      <c r="C2393" s="12"/>
      <c r="D2393" s="15"/>
      <c r="E2393" s="19"/>
      <c r="F2393" s="19"/>
      <c r="G2393" s="12"/>
    </row>
    <row r="2394" spans="2:7" x14ac:dyDescent="0.25">
      <c r="B2394" s="12"/>
      <c r="C2394" s="12"/>
      <c r="D2394" s="15"/>
      <c r="E2394" s="19"/>
      <c r="F2394" s="19"/>
      <c r="G2394" s="12"/>
    </row>
    <row r="2395" spans="2:7" x14ac:dyDescent="0.25">
      <c r="B2395" s="12"/>
      <c r="C2395" s="12"/>
      <c r="D2395" s="15"/>
      <c r="E2395" s="19"/>
      <c r="F2395" s="19"/>
      <c r="G2395" s="12"/>
    </row>
    <row r="2396" spans="2:7" x14ac:dyDescent="0.25">
      <c r="B2396" s="12"/>
      <c r="C2396" s="12"/>
      <c r="D2396" s="15"/>
      <c r="E2396" s="19"/>
      <c r="F2396" s="19"/>
      <c r="G2396" s="12"/>
    </row>
    <row r="2397" spans="2:7" x14ac:dyDescent="0.25">
      <c r="B2397" s="12"/>
      <c r="C2397" s="12"/>
      <c r="D2397" s="15"/>
      <c r="E2397" s="19"/>
      <c r="F2397" s="19"/>
      <c r="G2397" s="12"/>
    </row>
    <row r="2398" spans="2:7" x14ac:dyDescent="0.25">
      <c r="B2398" s="12"/>
      <c r="C2398" s="12"/>
      <c r="D2398" s="15"/>
      <c r="E2398" s="19"/>
      <c r="F2398" s="19"/>
      <c r="G2398" s="12"/>
    </row>
    <row r="2399" spans="2:7" x14ac:dyDescent="0.25">
      <c r="B2399" s="12"/>
      <c r="C2399" s="12"/>
      <c r="D2399" s="15"/>
      <c r="E2399" s="19"/>
      <c r="F2399" s="19"/>
      <c r="G2399" s="12"/>
    </row>
    <row r="2400" spans="2:7" x14ac:dyDescent="0.25">
      <c r="B2400" s="12"/>
      <c r="C2400" s="12"/>
      <c r="D2400" s="15"/>
      <c r="E2400" s="19"/>
      <c r="F2400" s="19"/>
      <c r="G2400" s="12"/>
    </row>
    <row r="2401" spans="2:7" x14ac:dyDescent="0.25">
      <c r="B2401" s="12"/>
      <c r="C2401" s="12"/>
      <c r="D2401" s="15"/>
      <c r="E2401" s="19"/>
      <c r="F2401" s="19"/>
      <c r="G2401" s="12"/>
    </row>
    <row r="2402" spans="2:7" x14ac:dyDescent="0.25">
      <c r="B2402" s="12"/>
      <c r="C2402" s="12"/>
      <c r="D2402" s="15"/>
      <c r="E2402" s="19"/>
      <c r="F2402" s="19"/>
      <c r="G2402" s="12"/>
    </row>
    <row r="2403" spans="2:7" x14ac:dyDescent="0.25">
      <c r="B2403" s="12"/>
      <c r="C2403" s="12"/>
      <c r="D2403" s="15"/>
      <c r="E2403" s="19"/>
      <c r="F2403" s="19"/>
      <c r="G2403" s="12"/>
    </row>
    <row r="2404" spans="2:7" x14ac:dyDescent="0.25">
      <c r="B2404" s="12"/>
      <c r="C2404" s="12"/>
      <c r="D2404" s="15"/>
      <c r="E2404" s="19"/>
      <c r="F2404" s="19"/>
      <c r="G2404" s="12"/>
    </row>
    <row r="2405" spans="2:7" x14ac:dyDescent="0.25">
      <c r="B2405" s="12"/>
      <c r="C2405" s="12"/>
      <c r="D2405" s="15"/>
      <c r="E2405" s="19"/>
      <c r="F2405" s="19"/>
      <c r="G2405" s="12"/>
    </row>
    <row r="2406" spans="2:7" x14ac:dyDescent="0.25">
      <c r="B2406" s="12"/>
      <c r="C2406" s="12"/>
      <c r="D2406" s="15"/>
      <c r="E2406" s="19"/>
      <c r="F2406" s="19"/>
      <c r="G2406" s="12"/>
    </row>
    <row r="2407" spans="2:7" x14ac:dyDescent="0.25">
      <c r="B2407" s="12"/>
      <c r="C2407" s="12"/>
      <c r="D2407" s="15"/>
      <c r="E2407" s="19"/>
      <c r="F2407" s="19"/>
      <c r="G2407" s="12"/>
    </row>
    <row r="2408" spans="2:7" x14ac:dyDescent="0.25">
      <c r="B2408" s="12"/>
      <c r="C2408" s="12"/>
      <c r="D2408" s="15"/>
      <c r="E2408" s="19"/>
      <c r="F2408" s="19"/>
      <c r="G2408" s="12"/>
    </row>
    <row r="2409" spans="2:7" x14ac:dyDescent="0.25">
      <c r="B2409" s="12"/>
      <c r="C2409" s="12"/>
      <c r="D2409" s="15"/>
      <c r="E2409" s="19"/>
      <c r="F2409" s="19"/>
      <c r="G2409" s="12"/>
    </row>
    <row r="2410" spans="2:7" x14ac:dyDescent="0.25">
      <c r="B2410" s="12"/>
      <c r="C2410" s="12"/>
      <c r="D2410" s="15"/>
      <c r="E2410" s="19"/>
      <c r="F2410" s="19"/>
      <c r="G2410" s="12"/>
    </row>
    <row r="2411" spans="2:7" x14ac:dyDescent="0.25">
      <c r="B2411" s="12"/>
      <c r="C2411" s="12"/>
      <c r="D2411" s="15"/>
      <c r="E2411" s="19"/>
      <c r="F2411" s="19"/>
      <c r="G2411" s="12"/>
    </row>
    <row r="2412" spans="2:7" x14ac:dyDescent="0.25">
      <c r="B2412" s="12"/>
      <c r="C2412" s="12"/>
      <c r="D2412" s="15"/>
      <c r="E2412" s="19"/>
      <c r="F2412" s="19"/>
      <c r="G2412" s="12"/>
    </row>
    <row r="2413" spans="2:7" x14ac:dyDescent="0.25">
      <c r="B2413" s="12"/>
      <c r="C2413" s="12"/>
      <c r="D2413" s="15"/>
      <c r="E2413" s="19"/>
      <c r="F2413" s="19"/>
      <c r="G2413" s="12"/>
    </row>
    <row r="2414" spans="2:7" x14ac:dyDescent="0.25">
      <c r="B2414" s="12"/>
      <c r="C2414" s="12"/>
      <c r="D2414" s="15"/>
      <c r="E2414" s="19"/>
      <c r="F2414" s="19"/>
      <c r="G2414" s="12"/>
    </row>
    <row r="2415" spans="2:7" x14ac:dyDescent="0.25">
      <c r="B2415" s="12"/>
      <c r="C2415" s="12"/>
      <c r="D2415" s="15"/>
      <c r="E2415" s="19"/>
      <c r="F2415" s="19"/>
      <c r="G2415" s="12"/>
    </row>
    <row r="2416" spans="2:7" x14ac:dyDescent="0.25">
      <c r="B2416" s="12"/>
      <c r="C2416" s="12"/>
      <c r="D2416" s="15"/>
      <c r="E2416" s="19"/>
      <c r="F2416" s="19"/>
      <c r="G2416" s="12"/>
    </row>
    <row r="2417" spans="2:7" x14ac:dyDescent="0.25">
      <c r="B2417" s="12"/>
      <c r="C2417" s="12"/>
      <c r="D2417" s="15"/>
      <c r="E2417" s="19"/>
      <c r="F2417" s="19"/>
      <c r="G2417" s="12"/>
    </row>
    <row r="2418" spans="2:7" x14ac:dyDescent="0.25">
      <c r="B2418" s="12"/>
      <c r="C2418" s="12"/>
      <c r="D2418" s="15"/>
      <c r="E2418" s="19"/>
      <c r="F2418" s="19"/>
      <c r="G2418" s="12"/>
    </row>
    <row r="2419" spans="2:7" x14ac:dyDescent="0.25">
      <c r="B2419" s="12"/>
      <c r="C2419" s="12"/>
      <c r="D2419" s="15"/>
      <c r="E2419" s="19"/>
      <c r="F2419" s="19"/>
      <c r="G2419" s="12"/>
    </row>
    <row r="2420" spans="2:7" x14ac:dyDescent="0.25">
      <c r="B2420" s="12"/>
      <c r="C2420" s="12"/>
      <c r="D2420" s="15"/>
      <c r="E2420" s="19"/>
      <c r="F2420" s="19"/>
      <c r="G2420" s="12"/>
    </row>
    <row r="2421" spans="2:7" x14ac:dyDescent="0.25">
      <c r="B2421" s="12"/>
      <c r="C2421" s="12"/>
      <c r="D2421" s="15"/>
      <c r="E2421" s="19"/>
      <c r="F2421" s="19"/>
      <c r="G2421" s="12"/>
    </row>
    <row r="2422" spans="2:7" x14ac:dyDescent="0.25">
      <c r="B2422" s="12"/>
      <c r="C2422" s="12"/>
      <c r="D2422" s="15"/>
      <c r="E2422" s="19"/>
      <c r="F2422" s="19"/>
      <c r="G2422" s="12"/>
    </row>
    <row r="2423" spans="2:7" x14ac:dyDescent="0.25">
      <c r="B2423" s="12"/>
      <c r="C2423" s="12"/>
      <c r="D2423" s="15"/>
      <c r="E2423" s="19"/>
      <c r="F2423" s="19"/>
      <c r="G2423" s="12"/>
    </row>
    <row r="2424" spans="2:7" x14ac:dyDescent="0.25">
      <c r="B2424" s="12"/>
      <c r="C2424" s="12"/>
      <c r="D2424" s="15"/>
      <c r="E2424" s="19"/>
      <c r="F2424" s="19"/>
      <c r="G2424" s="12"/>
    </row>
    <row r="2425" spans="2:7" x14ac:dyDescent="0.25">
      <c r="B2425" s="12"/>
      <c r="C2425" s="12"/>
      <c r="D2425" s="15"/>
      <c r="E2425" s="19"/>
      <c r="F2425" s="19"/>
      <c r="G2425" s="12"/>
    </row>
    <row r="2426" spans="2:7" x14ac:dyDescent="0.25">
      <c r="B2426" s="12"/>
      <c r="C2426" s="12"/>
      <c r="D2426" s="15"/>
      <c r="E2426" s="19"/>
      <c r="F2426" s="19"/>
      <c r="G2426" s="12"/>
    </row>
    <row r="2427" spans="2:7" x14ac:dyDescent="0.25">
      <c r="B2427" s="12"/>
      <c r="C2427" s="12"/>
      <c r="D2427" s="15"/>
      <c r="E2427" s="19"/>
      <c r="F2427" s="19"/>
      <c r="G2427" s="12"/>
    </row>
    <row r="2428" spans="2:7" x14ac:dyDescent="0.25">
      <c r="B2428" s="12"/>
      <c r="C2428" s="12"/>
      <c r="D2428" s="15"/>
      <c r="E2428" s="19"/>
      <c r="F2428" s="19"/>
      <c r="G2428" s="12"/>
    </row>
    <row r="2429" spans="2:7" x14ac:dyDescent="0.25">
      <c r="B2429" s="12"/>
      <c r="C2429" s="12"/>
      <c r="D2429" s="15"/>
      <c r="E2429" s="19"/>
      <c r="F2429" s="19"/>
      <c r="G2429" s="12"/>
    </row>
    <row r="2430" spans="2:7" x14ac:dyDescent="0.25">
      <c r="B2430" s="12"/>
      <c r="C2430" s="12"/>
      <c r="D2430" s="15"/>
      <c r="E2430" s="19"/>
      <c r="F2430" s="19"/>
      <c r="G2430" s="12"/>
    </row>
    <row r="2431" spans="2:7" x14ac:dyDescent="0.25">
      <c r="B2431" s="12"/>
      <c r="C2431" s="12"/>
      <c r="D2431" s="15"/>
      <c r="E2431" s="19"/>
      <c r="F2431" s="19"/>
      <c r="G2431" s="12"/>
    </row>
    <row r="2432" spans="2:7" x14ac:dyDescent="0.25">
      <c r="B2432" s="12"/>
      <c r="C2432" s="12"/>
      <c r="D2432" s="15"/>
      <c r="E2432" s="19"/>
      <c r="F2432" s="19"/>
      <c r="G2432" s="12"/>
    </row>
    <row r="2433" spans="2:7" x14ac:dyDescent="0.25">
      <c r="B2433" s="12"/>
      <c r="C2433" s="12"/>
      <c r="D2433" s="15"/>
      <c r="E2433" s="19"/>
      <c r="F2433" s="19"/>
      <c r="G2433" s="12"/>
    </row>
    <row r="2434" spans="2:7" x14ac:dyDescent="0.25">
      <c r="B2434" s="12"/>
      <c r="C2434" s="12"/>
      <c r="D2434" s="15"/>
      <c r="E2434" s="19"/>
      <c r="F2434" s="19"/>
      <c r="G2434" s="12"/>
    </row>
    <row r="2435" spans="2:7" x14ac:dyDescent="0.25">
      <c r="B2435" s="12"/>
      <c r="C2435" s="12"/>
      <c r="D2435" s="15"/>
      <c r="E2435" s="19"/>
      <c r="F2435" s="19"/>
      <c r="G2435" s="12"/>
    </row>
    <row r="2436" spans="2:7" x14ac:dyDescent="0.25">
      <c r="B2436" s="12"/>
      <c r="C2436" s="12"/>
      <c r="D2436" s="15"/>
      <c r="E2436" s="19"/>
      <c r="F2436" s="19"/>
      <c r="G2436" s="12"/>
    </row>
    <row r="2437" spans="2:7" x14ac:dyDescent="0.25">
      <c r="B2437" s="12"/>
      <c r="C2437" s="12"/>
      <c r="D2437" s="15"/>
      <c r="E2437" s="19"/>
      <c r="F2437" s="19"/>
      <c r="G2437" s="12"/>
    </row>
    <row r="2438" spans="2:7" x14ac:dyDescent="0.25">
      <c r="B2438" s="12"/>
      <c r="C2438" s="12"/>
      <c r="D2438" s="15"/>
      <c r="E2438" s="19"/>
      <c r="F2438" s="19"/>
      <c r="G2438" s="12"/>
    </row>
    <row r="2439" spans="2:7" x14ac:dyDescent="0.25">
      <c r="B2439" s="12"/>
      <c r="C2439" s="12"/>
      <c r="D2439" s="15"/>
      <c r="E2439" s="19"/>
      <c r="F2439" s="19"/>
      <c r="G2439" s="12"/>
    </row>
    <row r="2440" spans="2:7" x14ac:dyDescent="0.25">
      <c r="B2440" s="12"/>
      <c r="C2440" s="12"/>
      <c r="D2440" s="15"/>
      <c r="E2440" s="19"/>
      <c r="F2440" s="19"/>
      <c r="G2440" s="12"/>
    </row>
    <row r="2441" spans="2:7" x14ac:dyDescent="0.25">
      <c r="B2441" s="12"/>
      <c r="C2441" s="12"/>
      <c r="D2441" s="15"/>
      <c r="E2441" s="19"/>
      <c r="F2441" s="19"/>
      <c r="G2441" s="12"/>
    </row>
    <row r="2442" spans="2:7" x14ac:dyDescent="0.25">
      <c r="B2442" s="12"/>
      <c r="C2442" s="12"/>
      <c r="D2442" s="15"/>
      <c r="E2442" s="19"/>
      <c r="F2442" s="19"/>
      <c r="G2442" s="12"/>
    </row>
    <row r="2443" spans="2:7" x14ac:dyDescent="0.25">
      <c r="B2443" s="12"/>
      <c r="C2443" s="12"/>
      <c r="D2443" s="15"/>
      <c r="E2443" s="19"/>
      <c r="F2443" s="19"/>
      <c r="G2443" s="12"/>
    </row>
    <row r="2444" spans="2:7" x14ac:dyDescent="0.25">
      <c r="B2444" s="12"/>
      <c r="C2444" s="12"/>
      <c r="D2444" s="15"/>
      <c r="E2444" s="19"/>
      <c r="F2444" s="19"/>
      <c r="G2444" s="12"/>
    </row>
    <row r="2445" spans="2:7" x14ac:dyDescent="0.25">
      <c r="B2445" s="12"/>
      <c r="C2445" s="12"/>
      <c r="D2445" s="15"/>
      <c r="E2445" s="19"/>
      <c r="F2445" s="19"/>
      <c r="G2445" s="12"/>
    </row>
    <row r="2446" spans="2:7" x14ac:dyDescent="0.25">
      <c r="B2446" s="12"/>
      <c r="C2446" s="12"/>
      <c r="D2446" s="15"/>
      <c r="E2446" s="19"/>
      <c r="F2446" s="19"/>
      <c r="G2446" s="12"/>
    </row>
    <row r="2447" spans="2:7" x14ac:dyDescent="0.25">
      <c r="B2447" s="12"/>
      <c r="C2447" s="12"/>
      <c r="D2447" s="15"/>
      <c r="E2447" s="19"/>
      <c r="F2447" s="19"/>
      <c r="G2447" s="12"/>
    </row>
    <row r="2448" spans="2:7" x14ac:dyDescent="0.25">
      <c r="B2448" s="12"/>
      <c r="C2448" s="12"/>
      <c r="D2448" s="15"/>
      <c r="E2448" s="19"/>
      <c r="F2448" s="19"/>
      <c r="G2448" s="12"/>
    </row>
    <row r="2449" spans="2:7" x14ac:dyDescent="0.25">
      <c r="B2449" s="12"/>
      <c r="C2449" s="12"/>
      <c r="D2449" s="15"/>
      <c r="E2449" s="19"/>
      <c r="F2449" s="19"/>
      <c r="G2449" s="12"/>
    </row>
    <row r="2450" spans="2:7" x14ac:dyDescent="0.25">
      <c r="B2450" s="12"/>
      <c r="C2450" s="12"/>
      <c r="D2450" s="15"/>
      <c r="E2450" s="19"/>
      <c r="F2450" s="19"/>
      <c r="G2450" s="12"/>
    </row>
    <row r="2451" spans="2:7" x14ac:dyDescent="0.25">
      <c r="B2451" s="12"/>
      <c r="C2451" s="12"/>
      <c r="D2451" s="15"/>
      <c r="E2451" s="19"/>
      <c r="F2451" s="19"/>
      <c r="G2451" s="12"/>
    </row>
    <row r="2452" spans="2:7" x14ac:dyDescent="0.25">
      <c r="B2452" s="12"/>
      <c r="C2452" s="12"/>
      <c r="D2452" s="15"/>
      <c r="E2452" s="19"/>
      <c r="F2452" s="19"/>
      <c r="G2452" s="12"/>
    </row>
    <row r="2453" spans="2:7" x14ac:dyDescent="0.25">
      <c r="B2453" s="12"/>
      <c r="C2453" s="12"/>
      <c r="D2453" s="15"/>
      <c r="E2453" s="19"/>
      <c r="F2453" s="19"/>
      <c r="G2453" s="12"/>
    </row>
    <row r="2454" spans="2:7" x14ac:dyDescent="0.25">
      <c r="B2454" s="12"/>
      <c r="C2454" s="12"/>
      <c r="D2454" s="15"/>
      <c r="E2454" s="19"/>
      <c r="F2454" s="19"/>
      <c r="G2454" s="12"/>
    </row>
    <row r="2455" spans="2:7" x14ac:dyDescent="0.25">
      <c r="B2455" s="12"/>
      <c r="C2455" s="12"/>
      <c r="D2455" s="15"/>
      <c r="E2455" s="19"/>
      <c r="F2455" s="19"/>
      <c r="G2455" s="12"/>
    </row>
    <row r="2456" spans="2:7" x14ac:dyDescent="0.25">
      <c r="B2456" s="12"/>
      <c r="C2456" s="12"/>
      <c r="D2456" s="15"/>
      <c r="E2456" s="19"/>
      <c r="F2456" s="19"/>
      <c r="G2456" s="12"/>
    </row>
    <row r="2457" spans="2:7" x14ac:dyDescent="0.25">
      <c r="B2457" s="12"/>
      <c r="C2457" s="12"/>
      <c r="D2457" s="15"/>
      <c r="E2457" s="19"/>
      <c r="F2457" s="19"/>
      <c r="G2457" s="12"/>
    </row>
    <row r="2458" spans="2:7" x14ac:dyDescent="0.25">
      <c r="B2458" s="12"/>
      <c r="C2458" s="12"/>
      <c r="D2458" s="15"/>
      <c r="E2458" s="19"/>
      <c r="F2458" s="19"/>
      <c r="G2458" s="12"/>
    </row>
    <row r="2459" spans="2:7" x14ac:dyDescent="0.25">
      <c r="B2459" s="12"/>
      <c r="C2459" s="12"/>
      <c r="D2459" s="15"/>
      <c r="E2459" s="19"/>
      <c r="F2459" s="19"/>
      <c r="G2459" s="12"/>
    </row>
    <row r="2460" spans="2:7" x14ac:dyDescent="0.25">
      <c r="B2460" s="12"/>
      <c r="C2460" s="12"/>
      <c r="D2460" s="15"/>
      <c r="E2460" s="19"/>
      <c r="F2460" s="19"/>
      <c r="G2460" s="12"/>
    </row>
    <row r="2461" spans="2:7" x14ac:dyDescent="0.25">
      <c r="B2461" s="12"/>
      <c r="C2461" s="12"/>
      <c r="D2461" s="15"/>
      <c r="E2461" s="19"/>
      <c r="F2461" s="19"/>
      <c r="G2461" s="12"/>
    </row>
    <row r="2462" spans="2:7" x14ac:dyDescent="0.25">
      <c r="B2462" s="12"/>
      <c r="C2462" s="12"/>
      <c r="D2462" s="15"/>
      <c r="E2462" s="19"/>
      <c r="F2462" s="19"/>
      <c r="G2462" s="12"/>
    </row>
    <row r="2463" spans="2:7" x14ac:dyDescent="0.25">
      <c r="B2463" s="12"/>
      <c r="C2463" s="12"/>
      <c r="D2463" s="15"/>
      <c r="E2463" s="19"/>
      <c r="F2463" s="19"/>
      <c r="G2463" s="12"/>
    </row>
    <row r="2464" spans="2:7" x14ac:dyDescent="0.25">
      <c r="B2464" s="12"/>
      <c r="C2464" s="12"/>
      <c r="D2464" s="15"/>
      <c r="E2464" s="19"/>
      <c r="F2464" s="19"/>
      <c r="G2464" s="12"/>
    </row>
    <row r="2465" spans="2:7" x14ac:dyDescent="0.25">
      <c r="B2465" s="12"/>
      <c r="C2465" s="12"/>
      <c r="D2465" s="15"/>
      <c r="E2465" s="19"/>
      <c r="F2465" s="19"/>
      <c r="G2465" s="12"/>
    </row>
    <row r="2466" spans="2:7" x14ac:dyDescent="0.25">
      <c r="B2466" s="12"/>
      <c r="C2466" s="12"/>
      <c r="D2466" s="15"/>
      <c r="E2466" s="19"/>
      <c r="F2466" s="19"/>
      <c r="G2466" s="12"/>
    </row>
    <row r="2467" spans="2:7" x14ac:dyDescent="0.25">
      <c r="B2467" s="12"/>
      <c r="C2467" s="12"/>
      <c r="D2467" s="15"/>
      <c r="E2467" s="19"/>
      <c r="F2467" s="19"/>
      <c r="G2467" s="12"/>
    </row>
    <row r="2468" spans="2:7" x14ac:dyDescent="0.25">
      <c r="B2468" s="12"/>
      <c r="C2468" s="12"/>
      <c r="D2468" s="15"/>
      <c r="E2468" s="19"/>
      <c r="F2468" s="19"/>
      <c r="G2468" s="12"/>
    </row>
    <row r="2469" spans="2:7" x14ac:dyDescent="0.25">
      <c r="B2469" s="12"/>
      <c r="C2469" s="12"/>
      <c r="D2469" s="15"/>
      <c r="E2469" s="19"/>
      <c r="F2469" s="19"/>
      <c r="G2469" s="12"/>
    </row>
    <row r="2470" spans="2:7" x14ac:dyDescent="0.25">
      <c r="B2470" s="12"/>
      <c r="C2470" s="12"/>
      <c r="D2470" s="15"/>
      <c r="E2470" s="19"/>
      <c r="F2470" s="19"/>
      <c r="G2470" s="12"/>
    </row>
    <row r="2471" spans="2:7" x14ac:dyDescent="0.25">
      <c r="B2471" s="12"/>
      <c r="C2471" s="12"/>
      <c r="D2471" s="15"/>
      <c r="E2471" s="19"/>
      <c r="F2471" s="19"/>
      <c r="G2471" s="12"/>
    </row>
    <row r="2472" spans="2:7" x14ac:dyDescent="0.25">
      <c r="B2472" s="12"/>
      <c r="C2472" s="12"/>
      <c r="D2472" s="15"/>
      <c r="E2472" s="19"/>
      <c r="F2472" s="19"/>
      <c r="G2472" s="12"/>
    </row>
    <row r="2473" spans="2:7" x14ac:dyDescent="0.25">
      <c r="B2473" s="12"/>
      <c r="C2473" s="12"/>
      <c r="D2473" s="15"/>
      <c r="E2473" s="19"/>
      <c r="F2473" s="19"/>
      <c r="G2473" s="12"/>
    </row>
    <row r="2474" spans="2:7" x14ac:dyDescent="0.25">
      <c r="B2474" s="12"/>
      <c r="C2474" s="12"/>
      <c r="D2474" s="15"/>
      <c r="E2474" s="19"/>
      <c r="F2474" s="19"/>
      <c r="G2474" s="12"/>
    </row>
    <row r="2475" spans="2:7" x14ac:dyDescent="0.25">
      <c r="B2475" s="12"/>
      <c r="C2475" s="12"/>
      <c r="D2475" s="15"/>
      <c r="E2475" s="19"/>
      <c r="F2475" s="19"/>
      <c r="G2475" s="12"/>
    </row>
    <row r="2476" spans="2:7" x14ac:dyDescent="0.25">
      <c r="B2476" s="12"/>
      <c r="C2476" s="12"/>
      <c r="D2476" s="15"/>
      <c r="E2476" s="19"/>
      <c r="F2476" s="19"/>
      <c r="G2476" s="12"/>
    </row>
    <row r="2477" spans="2:7" x14ac:dyDescent="0.25">
      <c r="B2477" s="12"/>
      <c r="C2477" s="12"/>
      <c r="D2477" s="15"/>
      <c r="E2477" s="19"/>
      <c r="F2477" s="19"/>
      <c r="G2477" s="12"/>
    </row>
    <row r="2478" spans="2:7" x14ac:dyDescent="0.25">
      <c r="B2478" s="12"/>
      <c r="C2478" s="12"/>
      <c r="D2478" s="15"/>
      <c r="E2478" s="19"/>
      <c r="F2478" s="19"/>
      <c r="G2478" s="12"/>
    </row>
    <row r="2479" spans="2:7" x14ac:dyDescent="0.25">
      <c r="B2479" s="12"/>
      <c r="C2479" s="12"/>
      <c r="D2479" s="15"/>
      <c r="E2479" s="19"/>
      <c r="F2479" s="19"/>
      <c r="G2479" s="12"/>
    </row>
    <row r="2480" spans="2:7" x14ac:dyDescent="0.25">
      <c r="B2480" s="12"/>
      <c r="C2480" s="12"/>
      <c r="D2480" s="15"/>
      <c r="E2480" s="19"/>
      <c r="F2480" s="19"/>
      <c r="G2480" s="12"/>
    </row>
    <row r="2481" spans="2:7" x14ac:dyDescent="0.25">
      <c r="B2481" s="12"/>
      <c r="C2481" s="12"/>
      <c r="D2481" s="15"/>
      <c r="E2481" s="19"/>
      <c r="F2481" s="19"/>
      <c r="G2481" s="12"/>
    </row>
    <row r="2482" spans="2:7" x14ac:dyDescent="0.25">
      <c r="B2482" s="12"/>
      <c r="C2482" s="12"/>
      <c r="D2482" s="15"/>
      <c r="E2482" s="19"/>
      <c r="F2482" s="19"/>
      <c r="G2482" s="12"/>
    </row>
    <row r="2483" spans="2:7" x14ac:dyDescent="0.25">
      <c r="B2483" s="12"/>
      <c r="C2483" s="12"/>
      <c r="D2483" s="15"/>
      <c r="E2483" s="19"/>
      <c r="F2483" s="19"/>
      <c r="G2483" s="12"/>
    </row>
    <row r="2484" spans="2:7" x14ac:dyDescent="0.25">
      <c r="B2484" s="12"/>
      <c r="C2484" s="12"/>
      <c r="D2484" s="15"/>
      <c r="E2484" s="19"/>
      <c r="F2484" s="19"/>
      <c r="G2484" s="12"/>
    </row>
    <row r="2485" spans="2:7" x14ac:dyDescent="0.25">
      <c r="B2485" s="12"/>
      <c r="C2485" s="12"/>
      <c r="D2485" s="15"/>
      <c r="E2485" s="19"/>
      <c r="F2485" s="19"/>
      <c r="G2485" s="12"/>
    </row>
    <row r="2486" spans="2:7" x14ac:dyDescent="0.25">
      <c r="B2486" s="12"/>
      <c r="C2486" s="12"/>
      <c r="D2486" s="15"/>
      <c r="E2486" s="19"/>
      <c r="F2486" s="19"/>
      <c r="G2486" s="12"/>
    </row>
    <row r="2487" spans="2:7" x14ac:dyDescent="0.25">
      <c r="B2487" s="12"/>
      <c r="C2487" s="12"/>
      <c r="D2487" s="15"/>
      <c r="E2487" s="19"/>
      <c r="F2487" s="19"/>
      <c r="G2487" s="12"/>
    </row>
    <row r="2488" spans="2:7" x14ac:dyDescent="0.25">
      <c r="B2488" s="12"/>
      <c r="C2488" s="12"/>
      <c r="D2488" s="15"/>
      <c r="E2488" s="19"/>
      <c r="F2488" s="19"/>
      <c r="G2488" s="12"/>
    </row>
    <row r="2489" spans="2:7" x14ac:dyDescent="0.25">
      <c r="B2489" s="12"/>
      <c r="C2489" s="12"/>
      <c r="D2489" s="15"/>
      <c r="E2489" s="19"/>
      <c r="F2489" s="19"/>
      <c r="G2489" s="12"/>
    </row>
    <row r="2490" spans="2:7" x14ac:dyDescent="0.25">
      <c r="B2490" s="12"/>
      <c r="C2490" s="12"/>
      <c r="D2490" s="15"/>
      <c r="E2490" s="19"/>
      <c r="F2490" s="19"/>
      <c r="G2490" s="12"/>
    </row>
    <row r="2491" spans="2:7" x14ac:dyDescent="0.25">
      <c r="B2491" s="12"/>
      <c r="C2491" s="12"/>
      <c r="D2491" s="15"/>
      <c r="E2491" s="19"/>
      <c r="F2491" s="19"/>
      <c r="G2491" s="12"/>
    </row>
    <row r="2492" spans="2:7" x14ac:dyDescent="0.25">
      <c r="B2492" s="12"/>
      <c r="C2492" s="12"/>
      <c r="D2492" s="15"/>
      <c r="E2492" s="19"/>
      <c r="F2492" s="19"/>
      <c r="G2492" s="12"/>
    </row>
    <row r="2493" spans="2:7" x14ac:dyDescent="0.25">
      <c r="B2493" s="12"/>
      <c r="C2493" s="12"/>
      <c r="D2493" s="15"/>
      <c r="E2493" s="19"/>
      <c r="F2493" s="19"/>
      <c r="G2493" s="12"/>
    </row>
    <row r="2494" spans="2:7" x14ac:dyDescent="0.25">
      <c r="B2494" s="12"/>
      <c r="C2494" s="12"/>
      <c r="D2494" s="15"/>
      <c r="E2494" s="19"/>
      <c r="F2494" s="19"/>
      <c r="G2494" s="12"/>
    </row>
    <row r="2495" spans="2:7" x14ac:dyDescent="0.25">
      <c r="B2495" s="12"/>
      <c r="C2495" s="12"/>
      <c r="D2495" s="15"/>
      <c r="E2495" s="19"/>
      <c r="F2495" s="19"/>
      <c r="G2495" s="12"/>
    </row>
    <row r="2496" spans="2:7" x14ac:dyDescent="0.25">
      <c r="B2496" s="12"/>
      <c r="C2496" s="12"/>
      <c r="D2496" s="15"/>
      <c r="E2496" s="19"/>
      <c r="F2496" s="19"/>
      <c r="G2496" s="12"/>
    </row>
    <row r="2497" spans="2:7" x14ac:dyDescent="0.25">
      <c r="B2497" s="12"/>
      <c r="C2497" s="12"/>
      <c r="D2497" s="15"/>
      <c r="E2497" s="19"/>
      <c r="F2497" s="19"/>
      <c r="G2497" s="12"/>
    </row>
    <row r="2498" spans="2:7" x14ac:dyDescent="0.25">
      <c r="B2498" s="12"/>
      <c r="C2498" s="12"/>
      <c r="D2498" s="15"/>
      <c r="E2498" s="19"/>
      <c r="F2498" s="19"/>
      <c r="G2498" s="12"/>
    </row>
    <row r="2499" spans="2:7" x14ac:dyDescent="0.25">
      <c r="B2499" s="12"/>
      <c r="C2499" s="12"/>
      <c r="D2499" s="15"/>
      <c r="E2499" s="19"/>
      <c r="F2499" s="19"/>
      <c r="G2499" s="12"/>
    </row>
    <row r="2500" spans="2:7" x14ac:dyDescent="0.25">
      <c r="B2500" s="12"/>
      <c r="C2500" s="12"/>
      <c r="D2500" s="15"/>
      <c r="E2500" s="19"/>
      <c r="F2500" s="19"/>
      <c r="G2500" s="12"/>
    </row>
    <row r="2501" spans="2:7" x14ac:dyDescent="0.25">
      <c r="B2501" s="12"/>
      <c r="C2501" s="12"/>
      <c r="D2501" s="15"/>
      <c r="E2501" s="19"/>
      <c r="F2501" s="19"/>
      <c r="G2501" s="12"/>
    </row>
    <row r="2502" spans="2:7" x14ac:dyDescent="0.25">
      <c r="B2502" s="12"/>
      <c r="C2502" s="12"/>
      <c r="D2502" s="15"/>
      <c r="E2502" s="19"/>
      <c r="F2502" s="19"/>
      <c r="G2502" s="12"/>
    </row>
    <row r="2503" spans="2:7" x14ac:dyDescent="0.25">
      <c r="B2503" s="12"/>
      <c r="C2503" s="12"/>
      <c r="D2503" s="15"/>
      <c r="E2503" s="19"/>
      <c r="F2503" s="19"/>
      <c r="G2503" s="12"/>
    </row>
    <row r="2504" spans="2:7" x14ac:dyDescent="0.25">
      <c r="B2504" s="12"/>
      <c r="C2504" s="12"/>
      <c r="D2504" s="15"/>
      <c r="E2504" s="19"/>
      <c r="F2504" s="19"/>
      <c r="G2504" s="12"/>
    </row>
    <row r="2505" spans="2:7" x14ac:dyDescent="0.25">
      <c r="B2505" s="12"/>
      <c r="C2505" s="12"/>
      <c r="D2505" s="15"/>
      <c r="E2505" s="19"/>
      <c r="F2505" s="19"/>
      <c r="G2505" s="12"/>
    </row>
    <row r="2506" spans="2:7" x14ac:dyDescent="0.25">
      <c r="B2506" s="12"/>
      <c r="C2506" s="12"/>
      <c r="D2506" s="15"/>
      <c r="E2506" s="19"/>
      <c r="F2506" s="19"/>
      <c r="G2506" s="12"/>
    </row>
    <row r="2507" spans="2:7" x14ac:dyDescent="0.25">
      <c r="B2507" s="12"/>
      <c r="C2507" s="12"/>
      <c r="D2507" s="15"/>
      <c r="E2507" s="19"/>
      <c r="F2507" s="19"/>
      <c r="G2507" s="12"/>
    </row>
    <row r="2508" spans="2:7" x14ac:dyDescent="0.25">
      <c r="B2508" s="12"/>
      <c r="C2508" s="12"/>
      <c r="D2508" s="15"/>
      <c r="E2508" s="19"/>
      <c r="F2508" s="19"/>
      <c r="G2508" s="12"/>
    </row>
    <row r="2509" spans="2:7" x14ac:dyDescent="0.25">
      <c r="B2509" s="12"/>
      <c r="C2509" s="12"/>
      <c r="D2509" s="15"/>
      <c r="E2509" s="19"/>
      <c r="F2509" s="19"/>
      <c r="G2509" s="12"/>
    </row>
    <row r="2510" spans="2:7" x14ac:dyDescent="0.25">
      <c r="B2510" s="12"/>
      <c r="C2510" s="12"/>
      <c r="D2510" s="15"/>
      <c r="E2510" s="19"/>
      <c r="F2510" s="19"/>
      <c r="G2510" s="12"/>
    </row>
    <row r="2511" spans="2:7" x14ac:dyDescent="0.25">
      <c r="B2511" s="12"/>
      <c r="C2511" s="12"/>
      <c r="D2511" s="15"/>
      <c r="E2511" s="19"/>
      <c r="F2511" s="19"/>
      <c r="G2511" s="12"/>
    </row>
    <row r="2512" spans="2:7" x14ac:dyDescent="0.25">
      <c r="B2512" s="12"/>
      <c r="C2512" s="12"/>
      <c r="D2512" s="15"/>
      <c r="E2512" s="19"/>
      <c r="F2512" s="19"/>
      <c r="G2512" s="12"/>
    </row>
    <row r="2513" spans="2:7" x14ac:dyDescent="0.25">
      <c r="B2513" s="12"/>
      <c r="C2513" s="12"/>
      <c r="D2513" s="15"/>
      <c r="E2513" s="19"/>
      <c r="F2513" s="19"/>
      <c r="G2513" s="12"/>
    </row>
    <row r="2514" spans="2:7" x14ac:dyDescent="0.25">
      <c r="B2514" s="12"/>
      <c r="C2514" s="12"/>
      <c r="D2514" s="15"/>
      <c r="E2514" s="19"/>
      <c r="F2514" s="19"/>
      <c r="G2514" s="12"/>
    </row>
    <row r="2515" spans="2:7" x14ac:dyDescent="0.25">
      <c r="B2515" s="12"/>
      <c r="C2515" s="12"/>
      <c r="D2515" s="15"/>
      <c r="E2515" s="19"/>
      <c r="F2515" s="19"/>
      <c r="G2515" s="12"/>
    </row>
    <row r="2516" spans="2:7" x14ac:dyDescent="0.25">
      <c r="B2516" s="12"/>
      <c r="C2516" s="12"/>
      <c r="D2516" s="15"/>
      <c r="E2516" s="19"/>
      <c r="F2516" s="19"/>
      <c r="G2516" s="12"/>
    </row>
    <row r="2517" spans="2:7" x14ac:dyDescent="0.25">
      <c r="B2517" s="12"/>
      <c r="C2517" s="12"/>
      <c r="D2517" s="15"/>
      <c r="E2517" s="19"/>
      <c r="F2517" s="19"/>
      <c r="G2517" s="12"/>
    </row>
    <row r="2518" spans="2:7" x14ac:dyDescent="0.25">
      <c r="B2518" s="12"/>
      <c r="C2518" s="12"/>
      <c r="D2518" s="15"/>
      <c r="E2518" s="19"/>
      <c r="F2518" s="19"/>
      <c r="G2518" s="12"/>
    </row>
    <row r="2519" spans="2:7" x14ac:dyDescent="0.25">
      <c r="B2519" s="12"/>
      <c r="C2519" s="12"/>
      <c r="D2519" s="15"/>
      <c r="E2519" s="19"/>
      <c r="F2519" s="19"/>
      <c r="G2519" s="12"/>
    </row>
    <row r="2520" spans="2:7" x14ac:dyDescent="0.25">
      <c r="B2520" s="12"/>
      <c r="C2520" s="12"/>
      <c r="D2520" s="15"/>
      <c r="E2520" s="19"/>
      <c r="F2520" s="19"/>
      <c r="G2520" s="12"/>
    </row>
    <row r="2521" spans="2:7" x14ac:dyDescent="0.25">
      <c r="B2521" s="12"/>
      <c r="C2521" s="12"/>
      <c r="D2521" s="15"/>
      <c r="E2521" s="19"/>
      <c r="F2521" s="19"/>
      <c r="G2521" s="12"/>
    </row>
    <row r="2522" spans="2:7" x14ac:dyDescent="0.25">
      <c r="B2522" s="12"/>
      <c r="C2522" s="12"/>
      <c r="D2522" s="15"/>
      <c r="E2522" s="19"/>
      <c r="F2522" s="19"/>
      <c r="G2522" s="12"/>
    </row>
    <row r="2523" spans="2:7" x14ac:dyDescent="0.25">
      <c r="B2523" s="12"/>
      <c r="C2523" s="12"/>
      <c r="D2523" s="15"/>
      <c r="E2523" s="19"/>
      <c r="F2523" s="19"/>
      <c r="G2523" s="12"/>
    </row>
    <row r="2524" spans="2:7" x14ac:dyDescent="0.25">
      <c r="B2524" s="12"/>
      <c r="C2524" s="12"/>
      <c r="D2524" s="15"/>
      <c r="E2524" s="19"/>
      <c r="F2524" s="19"/>
      <c r="G2524" s="12"/>
    </row>
    <row r="2525" spans="2:7" x14ac:dyDescent="0.25">
      <c r="B2525" s="12"/>
      <c r="C2525" s="12"/>
      <c r="D2525" s="15"/>
      <c r="E2525" s="19"/>
      <c r="F2525" s="19"/>
      <c r="G2525" s="12"/>
    </row>
    <row r="2526" spans="2:7" x14ac:dyDescent="0.25">
      <c r="B2526" s="12"/>
      <c r="C2526" s="12"/>
      <c r="D2526" s="15"/>
      <c r="E2526" s="19"/>
      <c r="F2526" s="19"/>
      <c r="G2526" s="12"/>
    </row>
    <row r="2527" spans="2:7" x14ac:dyDescent="0.25">
      <c r="B2527" s="12"/>
      <c r="C2527" s="12"/>
      <c r="D2527" s="15"/>
      <c r="E2527" s="19"/>
      <c r="F2527" s="19"/>
      <c r="G2527" s="12"/>
    </row>
    <row r="2528" spans="2:7" x14ac:dyDescent="0.25">
      <c r="B2528" s="12"/>
      <c r="C2528" s="12"/>
      <c r="D2528" s="15"/>
      <c r="E2528" s="19"/>
      <c r="F2528" s="19"/>
      <c r="G2528" s="12"/>
    </row>
    <row r="2529" spans="2:7" x14ac:dyDescent="0.25">
      <c r="B2529" s="12"/>
      <c r="C2529" s="12"/>
      <c r="D2529" s="15"/>
      <c r="E2529" s="19"/>
      <c r="F2529" s="19"/>
      <c r="G2529" s="12"/>
    </row>
    <row r="2530" spans="2:7" x14ac:dyDescent="0.25">
      <c r="B2530" s="12"/>
      <c r="C2530" s="12"/>
      <c r="D2530" s="15"/>
      <c r="E2530" s="19"/>
      <c r="F2530" s="19"/>
      <c r="G2530" s="12"/>
    </row>
    <row r="2531" spans="2:7" x14ac:dyDescent="0.25">
      <c r="B2531" s="12"/>
      <c r="C2531" s="12"/>
      <c r="D2531" s="15"/>
      <c r="E2531" s="19"/>
      <c r="F2531" s="19"/>
      <c r="G2531" s="12"/>
    </row>
    <row r="2532" spans="2:7" x14ac:dyDescent="0.25">
      <c r="B2532" s="12"/>
      <c r="C2532" s="12"/>
      <c r="D2532" s="15"/>
      <c r="E2532" s="19"/>
      <c r="F2532" s="19"/>
      <c r="G2532" s="12"/>
    </row>
    <row r="2533" spans="2:7" x14ac:dyDescent="0.25">
      <c r="B2533" s="12"/>
      <c r="C2533" s="12"/>
      <c r="D2533" s="15"/>
      <c r="E2533" s="19"/>
      <c r="F2533" s="19"/>
      <c r="G2533" s="12"/>
    </row>
    <row r="2534" spans="2:7" x14ac:dyDescent="0.25">
      <c r="B2534" s="12"/>
      <c r="C2534" s="12"/>
      <c r="D2534" s="15"/>
      <c r="E2534" s="19"/>
      <c r="F2534" s="19"/>
      <c r="G2534" s="12"/>
    </row>
    <row r="2535" spans="2:7" x14ac:dyDescent="0.25">
      <c r="B2535" s="12"/>
      <c r="C2535" s="12"/>
      <c r="D2535" s="15"/>
      <c r="E2535" s="19"/>
      <c r="F2535" s="19"/>
      <c r="G2535" s="12"/>
    </row>
    <row r="2536" spans="2:7" x14ac:dyDescent="0.25">
      <c r="B2536" s="12"/>
      <c r="C2536" s="12"/>
      <c r="D2536" s="15"/>
      <c r="E2536" s="19"/>
      <c r="F2536" s="19"/>
      <c r="G2536" s="12"/>
    </row>
    <row r="2537" spans="2:7" x14ac:dyDescent="0.25">
      <c r="B2537" s="12"/>
      <c r="C2537" s="12"/>
      <c r="D2537" s="15"/>
      <c r="E2537" s="19"/>
      <c r="F2537" s="19"/>
      <c r="G2537" s="12"/>
    </row>
    <row r="2538" spans="2:7" x14ac:dyDescent="0.25">
      <c r="B2538" s="12"/>
      <c r="C2538" s="12"/>
      <c r="D2538" s="15"/>
      <c r="E2538" s="19"/>
      <c r="F2538" s="19"/>
      <c r="G2538" s="12"/>
    </row>
    <row r="2539" spans="2:7" x14ac:dyDescent="0.25">
      <c r="B2539" s="12"/>
      <c r="C2539" s="12"/>
      <c r="D2539" s="15"/>
      <c r="E2539" s="19"/>
      <c r="F2539" s="19"/>
      <c r="G2539" s="12"/>
    </row>
    <row r="2540" spans="2:7" x14ac:dyDescent="0.25">
      <c r="B2540" s="12"/>
      <c r="C2540" s="12"/>
      <c r="D2540" s="15"/>
      <c r="E2540" s="19"/>
      <c r="F2540" s="19"/>
      <c r="G2540" s="12"/>
    </row>
    <row r="2541" spans="2:7" x14ac:dyDescent="0.25">
      <c r="B2541" s="12"/>
      <c r="C2541" s="12"/>
      <c r="D2541" s="15"/>
      <c r="E2541" s="19"/>
      <c r="F2541" s="19"/>
      <c r="G2541" s="12"/>
    </row>
    <row r="2542" spans="2:7" x14ac:dyDescent="0.25">
      <c r="B2542" s="12"/>
      <c r="C2542" s="12"/>
      <c r="D2542" s="15"/>
      <c r="E2542" s="19"/>
      <c r="F2542" s="19"/>
      <c r="G2542" s="12"/>
    </row>
    <row r="2543" spans="2:7" x14ac:dyDescent="0.25">
      <c r="B2543" s="12"/>
      <c r="C2543" s="12"/>
      <c r="D2543" s="15"/>
      <c r="E2543" s="19"/>
      <c r="F2543" s="19"/>
      <c r="G2543" s="12"/>
    </row>
    <row r="2544" spans="2:7" x14ac:dyDescent="0.25">
      <c r="B2544" s="12"/>
      <c r="C2544" s="12"/>
      <c r="D2544" s="15"/>
      <c r="E2544" s="19"/>
      <c r="F2544" s="19"/>
      <c r="G2544" s="12"/>
    </row>
    <row r="2545" spans="2:7" x14ac:dyDescent="0.25">
      <c r="B2545" s="12"/>
      <c r="C2545" s="12"/>
      <c r="D2545" s="15"/>
      <c r="E2545" s="19"/>
      <c r="F2545" s="19"/>
      <c r="G2545" s="12"/>
    </row>
    <row r="2546" spans="2:7" x14ac:dyDescent="0.25">
      <c r="B2546" s="12"/>
      <c r="C2546" s="12"/>
      <c r="D2546" s="15"/>
      <c r="E2546" s="19"/>
      <c r="F2546" s="19"/>
      <c r="G2546" s="12"/>
    </row>
    <row r="2547" spans="2:7" x14ac:dyDescent="0.25">
      <c r="B2547" s="12"/>
      <c r="C2547" s="12"/>
      <c r="D2547" s="15"/>
      <c r="E2547" s="19"/>
      <c r="F2547" s="19"/>
      <c r="G2547" s="12"/>
    </row>
    <row r="2548" spans="2:7" x14ac:dyDescent="0.25">
      <c r="B2548" s="12"/>
      <c r="C2548" s="12"/>
      <c r="D2548" s="15"/>
      <c r="E2548" s="19"/>
      <c r="F2548" s="19"/>
      <c r="G2548" s="12"/>
    </row>
    <row r="2549" spans="2:7" x14ac:dyDescent="0.25">
      <c r="B2549" s="12"/>
      <c r="C2549" s="12"/>
      <c r="D2549" s="15"/>
      <c r="E2549" s="19"/>
      <c r="F2549" s="19"/>
      <c r="G2549" s="12"/>
    </row>
    <row r="2550" spans="2:7" x14ac:dyDescent="0.25">
      <c r="B2550" s="12"/>
      <c r="C2550" s="12"/>
      <c r="D2550" s="15"/>
      <c r="E2550" s="19"/>
      <c r="F2550" s="19"/>
      <c r="G2550" s="12"/>
    </row>
    <row r="2551" spans="2:7" x14ac:dyDescent="0.25">
      <c r="B2551" s="12"/>
      <c r="C2551" s="12"/>
      <c r="D2551" s="15"/>
      <c r="E2551" s="19"/>
      <c r="F2551" s="19"/>
      <c r="G2551" s="12"/>
    </row>
    <row r="2552" spans="2:7" x14ac:dyDescent="0.25">
      <c r="B2552" s="12"/>
      <c r="C2552" s="12"/>
      <c r="D2552" s="15"/>
      <c r="E2552" s="19"/>
      <c r="F2552" s="19"/>
      <c r="G2552" s="12"/>
    </row>
    <row r="2553" spans="2:7" x14ac:dyDescent="0.25">
      <c r="B2553" s="12"/>
      <c r="C2553" s="12"/>
      <c r="D2553" s="15"/>
      <c r="E2553" s="19"/>
      <c r="F2553" s="19"/>
      <c r="G2553" s="12"/>
    </row>
    <row r="2554" spans="2:7" x14ac:dyDescent="0.25">
      <c r="B2554" s="12"/>
      <c r="C2554" s="12"/>
      <c r="D2554" s="15"/>
      <c r="E2554" s="19"/>
      <c r="F2554" s="19"/>
      <c r="G2554" s="12"/>
    </row>
    <row r="2555" spans="2:7" x14ac:dyDescent="0.25">
      <c r="B2555" s="12"/>
      <c r="C2555" s="12"/>
      <c r="D2555" s="15"/>
      <c r="E2555" s="19"/>
      <c r="F2555" s="19"/>
      <c r="G2555" s="12"/>
    </row>
    <row r="2556" spans="2:7" x14ac:dyDescent="0.25">
      <c r="B2556" s="12"/>
      <c r="C2556" s="12"/>
      <c r="D2556" s="15"/>
      <c r="E2556" s="19"/>
      <c r="F2556" s="19"/>
      <c r="G2556" s="12"/>
    </row>
    <row r="2557" spans="2:7" x14ac:dyDescent="0.25">
      <c r="B2557" s="12"/>
      <c r="C2557" s="12"/>
      <c r="D2557" s="15"/>
      <c r="E2557" s="19"/>
      <c r="F2557" s="19"/>
      <c r="G2557" s="12"/>
    </row>
    <row r="2558" spans="2:7" x14ac:dyDescent="0.25">
      <c r="B2558" s="12"/>
      <c r="C2558" s="12"/>
      <c r="D2558" s="15"/>
      <c r="E2558" s="19"/>
      <c r="F2558" s="19"/>
      <c r="G2558" s="12"/>
    </row>
    <row r="2559" spans="2:7" x14ac:dyDescent="0.25">
      <c r="B2559" s="12"/>
      <c r="C2559" s="12"/>
      <c r="D2559" s="15"/>
      <c r="E2559" s="19"/>
      <c r="F2559" s="19"/>
      <c r="G2559" s="12"/>
    </row>
    <row r="2560" spans="2:7" x14ac:dyDescent="0.25">
      <c r="B2560" s="12"/>
      <c r="C2560" s="12"/>
      <c r="D2560" s="15"/>
      <c r="E2560" s="19"/>
      <c r="F2560" s="19"/>
      <c r="G2560" s="12"/>
    </row>
    <row r="2561" spans="2:7" x14ac:dyDescent="0.25">
      <c r="B2561" s="12"/>
      <c r="C2561" s="12"/>
      <c r="D2561" s="15"/>
      <c r="E2561" s="19"/>
      <c r="F2561" s="19"/>
      <c r="G2561" s="12"/>
    </row>
    <row r="2562" spans="2:7" x14ac:dyDescent="0.25">
      <c r="B2562" s="12"/>
      <c r="C2562" s="12"/>
      <c r="D2562" s="15"/>
      <c r="E2562" s="19"/>
      <c r="F2562" s="19"/>
      <c r="G2562" s="12"/>
    </row>
    <row r="2563" spans="2:7" x14ac:dyDescent="0.25">
      <c r="B2563" s="12"/>
      <c r="C2563" s="12"/>
      <c r="D2563" s="15"/>
      <c r="E2563" s="19"/>
      <c r="F2563" s="19"/>
      <c r="G2563" s="12"/>
    </row>
    <row r="2564" spans="2:7" x14ac:dyDescent="0.25">
      <c r="B2564" s="12"/>
      <c r="C2564" s="12"/>
      <c r="D2564" s="15"/>
      <c r="E2564" s="19"/>
      <c r="F2564" s="19"/>
      <c r="G2564" s="12"/>
    </row>
    <row r="2565" spans="2:7" x14ac:dyDescent="0.25">
      <c r="B2565" s="12"/>
      <c r="C2565" s="12"/>
      <c r="D2565" s="15"/>
      <c r="E2565" s="19"/>
      <c r="F2565" s="19"/>
      <c r="G2565" s="12"/>
    </row>
    <row r="2566" spans="2:7" x14ac:dyDescent="0.25">
      <c r="B2566" s="12"/>
      <c r="C2566" s="12"/>
      <c r="D2566" s="15"/>
      <c r="E2566" s="19"/>
      <c r="F2566" s="19"/>
      <c r="G2566" s="12"/>
    </row>
    <row r="2567" spans="2:7" x14ac:dyDescent="0.25">
      <c r="B2567" s="12"/>
      <c r="C2567" s="12"/>
      <c r="D2567" s="15"/>
      <c r="E2567" s="19"/>
      <c r="F2567" s="19"/>
      <c r="G2567" s="12"/>
    </row>
    <row r="2568" spans="2:7" x14ac:dyDescent="0.25">
      <c r="B2568" s="12"/>
      <c r="C2568" s="12"/>
      <c r="D2568" s="15"/>
      <c r="E2568" s="19"/>
      <c r="F2568" s="19"/>
      <c r="G2568" s="12"/>
    </row>
    <row r="2569" spans="2:7" x14ac:dyDescent="0.25">
      <c r="B2569" s="12"/>
      <c r="C2569" s="12"/>
      <c r="D2569" s="15"/>
      <c r="E2569" s="19"/>
      <c r="F2569" s="19"/>
      <c r="G2569" s="12"/>
    </row>
    <row r="2570" spans="2:7" x14ac:dyDescent="0.25">
      <c r="B2570" s="12"/>
      <c r="C2570" s="12"/>
      <c r="D2570" s="15"/>
      <c r="E2570" s="19"/>
      <c r="F2570" s="19"/>
      <c r="G2570" s="12"/>
    </row>
    <row r="2571" spans="2:7" x14ac:dyDescent="0.25">
      <c r="B2571" s="12"/>
      <c r="C2571" s="12"/>
      <c r="D2571" s="15"/>
      <c r="E2571" s="19"/>
      <c r="F2571" s="19"/>
      <c r="G2571" s="12"/>
    </row>
    <row r="2572" spans="2:7" x14ac:dyDescent="0.25">
      <c r="B2572" s="12"/>
      <c r="C2572" s="12"/>
      <c r="D2572" s="15"/>
      <c r="E2572" s="19"/>
      <c r="F2572" s="19"/>
      <c r="G2572" s="12"/>
    </row>
    <row r="2573" spans="2:7" x14ac:dyDescent="0.25">
      <c r="B2573" s="12"/>
      <c r="C2573" s="12"/>
      <c r="D2573" s="15"/>
      <c r="E2573" s="19"/>
      <c r="F2573" s="19"/>
      <c r="G2573" s="12"/>
    </row>
    <row r="2574" spans="2:7" x14ac:dyDescent="0.25">
      <c r="B2574" s="12"/>
      <c r="C2574" s="12"/>
      <c r="D2574" s="15"/>
      <c r="E2574" s="19"/>
      <c r="F2574" s="19"/>
      <c r="G2574" s="12"/>
    </row>
    <row r="2575" spans="2:7" x14ac:dyDescent="0.25">
      <c r="B2575" s="12"/>
      <c r="C2575" s="12"/>
      <c r="D2575" s="15"/>
      <c r="E2575" s="19"/>
      <c r="F2575" s="19"/>
      <c r="G2575" s="12"/>
    </row>
    <row r="2576" spans="2:7" x14ac:dyDescent="0.25">
      <c r="B2576" s="12"/>
      <c r="C2576" s="12"/>
      <c r="D2576" s="15"/>
      <c r="E2576" s="19"/>
      <c r="F2576" s="19"/>
      <c r="G2576" s="12"/>
    </row>
    <row r="2577" spans="2:7" x14ac:dyDescent="0.25">
      <c r="B2577" s="12"/>
      <c r="C2577" s="12"/>
      <c r="D2577" s="15"/>
      <c r="E2577" s="19"/>
      <c r="F2577" s="19"/>
      <c r="G2577" s="12"/>
    </row>
    <row r="2578" spans="2:7" x14ac:dyDescent="0.25">
      <c r="B2578" s="12"/>
      <c r="C2578" s="12"/>
      <c r="D2578" s="15"/>
      <c r="E2578" s="19"/>
      <c r="F2578" s="19"/>
      <c r="G2578" s="12"/>
    </row>
    <row r="2579" spans="2:7" x14ac:dyDescent="0.25">
      <c r="B2579" s="12"/>
      <c r="C2579" s="12"/>
      <c r="D2579" s="15"/>
      <c r="E2579" s="19"/>
      <c r="F2579" s="19"/>
      <c r="G2579" s="12"/>
    </row>
    <row r="2580" spans="2:7" x14ac:dyDescent="0.25">
      <c r="B2580" s="12"/>
      <c r="C2580" s="12"/>
      <c r="D2580" s="15"/>
      <c r="E2580" s="19"/>
      <c r="F2580" s="19"/>
      <c r="G2580" s="12"/>
    </row>
    <row r="2581" spans="2:7" x14ac:dyDescent="0.25">
      <c r="B2581" s="12"/>
      <c r="C2581" s="12"/>
      <c r="D2581" s="15"/>
      <c r="E2581" s="19"/>
      <c r="F2581" s="19"/>
      <c r="G2581" s="12"/>
    </row>
    <row r="2582" spans="2:7" x14ac:dyDescent="0.25">
      <c r="B2582" s="12"/>
      <c r="C2582" s="12"/>
      <c r="D2582" s="15"/>
      <c r="E2582" s="19"/>
      <c r="F2582" s="19"/>
      <c r="G2582" s="12"/>
    </row>
    <row r="2583" spans="2:7" x14ac:dyDescent="0.25">
      <c r="B2583" s="12"/>
      <c r="C2583" s="12"/>
      <c r="D2583" s="15"/>
      <c r="E2583" s="19"/>
      <c r="F2583" s="19"/>
      <c r="G2583" s="12"/>
    </row>
    <row r="2584" spans="2:7" x14ac:dyDescent="0.25">
      <c r="B2584" s="12"/>
      <c r="C2584" s="12"/>
      <c r="D2584" s="15"/>
      <c r="E2584" s="19"/>
      <c r="F2584" s="19"/>
      <c r="G2584" s="12"/>
    </row>
    <row r="2585" spans="2:7" x14ac:dyDescent="0.25">
      <c r="B2585" s="12"/>
      <c r="C2585" s="12"/>
      <c r="D2585" s="15"/>
      <c r="E2585" s="19"/>
      <c r="F2585" s="19"/>
      <c r="G2585" s="12"/>
    </row>
    <row r="2586" spans="2:7" x14ac:dyDescent="0.25">
      <c r="B2586" s="12"/>
      <c r="C2586" s="12"/>
      <c r="D2586" s="15"/>
      <c r="E2586" s="19"/>
      <c r="F2586" s="19"/>
      <c r="G2586" s="12"/>
    </row>
    <row r="2587" spans="2:7" x14ac:dyDescent="0.25">
      <c r="B2587" s="12"/>
      <c r="C2587" s="12"/>
      <c r="D2587" s="15"/>
      <c r="E2587" s="19"/>
      <c r="F2587" s="19"/>
      <c r="G2587" s="12"/>
    </row>
    <row r="2588" spans="2:7" x14ac:dyDescent="0.25">
      <c r="B2588" s="12"/>
      <c r="C2588" s="12"/>
      <c r="D2588" s="15"/>
      <c r="E2588" s="19"/>
      <c r="F2588" s="19"/>
      <c r="G2588" s="12"/>
    </row>
    <row r="2589" spans="2:7" x14ac:dyDescent="0.25">
      <c r="B2589" s="12"/>
      <c r="C2589" s="12"/>
      <c r="D2589" s="15"/>
      <c r="E2589" s="19"/>
      <c r="F2589" s="19"/>
      <c r="G2589" s="12"/>
    </row>
    <row r="2590" spans="2:7" x14ac:dyDescent="0.25">
      <c r="B2590" s="12"/>
      <c r="C2590" s="12"/>
      <c r="D2590" s="15"/>
      <c r="E2590" s="19"/>
      <c r="F2590" s="19"/>
      <c r="G2590" s="12"/>
    </row>
    <row r="2591" spans="2:7" x14ac:dyDescent="0.25">
      <c r="B2591" s="12"/>
      <c r="C2591" s="12"/>
      <c r="D2591" s="15"/>
      <c r="E2591" s="19"/>
      <c r="F2591" s="19"/>
      <c r="G2591" s="12"/>
    </row>
    <row r="2592" spans="2:7" x14ac:dyDescent="0.25">
      <c r="B2592" s="12"/>
      <c r="C2592" s="12"/>
      <c r="D2592" s="15"/>
      <c r="E2592" s="19"/>
      <c r="F2592" s="19"/>
      <c r="G2592" s="12"/>
    </row>
    <row r="2593" spans="2:7" x14ac:dyDescent="0.25">
      <c r="B2593" s="12"/>
      <c r="C2593" s="12"/>
      <c r="D2593" s="15"/>
      <c r="E2593" s="19"/>
      <c r="F2593" s="19"/>
      <c r="G2593" s="12"/>
    </row>
    <row r="2594" spans="2:7" x14ac:dyDescent="0.25">
      <c r="B2594" s="12"/>
      <c r="C2594" s="12"/>
      <c r="D2594" s="15"/>
      <c r="E2594" s="19"/>
      <c r="F2594" s="19"/>
      <c r="G2594" s="12"/>
    </row>
    <row r="2595" spans="2:7" x14ac:dyDescent="0.25">
      <c r="B2595" s="12"/>
      <c r="C2595" s="12"/>
      <c r="D2595" s="15"/>
      <c r="E2595" s="19"/>
      <c r="F2595" s="19"/>
      <c r="G2595" s="12"/>
    </row>
    <row r="2596" spans="2:7" x14ac:dyDescent="0.25">
      <c r="B2596" s="12"/>
      <c r="C2596" s="12"/>
      <c r="D2596" s="15"/>
      <c r="E2596" s="19"/>
      <c r="F2596" s="19"/>
      <c r="G2596" s="12"/>
    </row>
    <row r="2597" spans="2:7" x14ac:dyDescent="0.25">
      <c r="B2597" s="12"/>
      <c r="C2597" s="12"/>
      <c r="D2597" s="15"/>
      <c r="E2597" s="19"/>
      <c r="F2597" s="19"/>
      <c r="G2597" s="12"/>
    </row>
    <row r="2598" spans="2:7" x14ac:dyDescent="0.25">
      <c r="B2598" s="12"/>
      <c r="C2598" s="12"/>
      <c r="D2598" s="15"/>
      <c r="E2598" s="19"/>
      <c r="F2598" s="19"/>
      <c r="G2598" s="12"/>
    </row>
    <row r="2599" spans="2:7" x14ac:dyDescent="0.25">
      <c r="B2599" s="12"/>
      <c r="C2599" s="12"/>
      <c r="D2599" s="15"/>
      <c r="E2599" s="19"/>
      <c r="F2599" s="19"/>
      <c r="G2599" s="12"/>
    </row>
    <row r="2600" spans="2:7" x14ac:dyDescent="0.25">
      <c r="B2600" s="12"/>
      <c r="C2600" s="12"/>
      <c r="D2600" s="15"/>
      <c r="E2600" s="19"/>
      <c r="F2600" s="19"/>
      <c r="G2600" s="12"/>
    </row>
    <row r="2601" spans="2:7" x14ac:dyDescent="0.25">
      <c r="B2601" s="12"/>
      <c r="C2601" s="12"/>
      <c r="D2601" s="15"/>
      <c r="E2601" s="19"/>
      <c r="F2601" s="19"/>
      <c r="G2601" s="12"/>
    </row>
    <row r="2602" spans="2:7" x14ac:dyDescent="0.25">
      <c r="B2602" s="12"/>
      <c r="C2602" s="12"/>
      <c r="D2602" s="15"/>
      <c r="E2602" s="19"/>
      <c r="F2602" s="19"/>
      <c r="G2602" s="12"/>
    </row>
    <row r="2603" spans="2:7" x14ac:dyDescent="0.25">
      <c r="B2603" s="12"/>
      <c r="C2603" s="12"/>
      <c r="D2603" s="15"/>
      <c r="E2603" s="19"/>
      <c r="F2603" s="19"/>
      <c r="G2603" s="12"/>
    </row>
    <row r="2604" spans="2:7" x14ac:dyDescent="0.25">
      <c r="B2604" s="12"/>
      <c r="C2604" s="12"/>
      <c r="D2604" s="15"/>
      <c r="E2604" s="19"/>
      <c r="F2604" s="19"/>
      <c r="G2604" s="12"/>
    </row>
    <row r="2605" spans="2:7" x14ac:dyDescent="0.25">
      <c r="B2605" s="12"/>
      <c r="C2605" s="12"/>
      <c r="D2605" s="15"/>
      <c r="E2605" s="19"/>
      <c r="F2605" s="19"/>
      <c r="G2605" s="12"/>
    </row>
    <row r="2606" spans="2:7" x14ac:dyDescent="0.25">
      <c r="B2606" s="12"/>
      <c r="C2606" s="12"/>
      <c r="D2606" s="15"/>
      <c r="E2606" s="19"/>
      <c r="F2606" s="19"/>
      <c r="G2606" s="12"/>
    </row>
    <row r="2607" spans="2:7" x14ac:dyDescent="0.25">
      <c r="B2607" s="12"/>
      <c r="C2607" s="12"/>
      <c r="D2607" s="15"/>
      <c r="E2607" s="19"/>
      <c r="F2607" s="19"/>
      <c r="G2607" s="12"/>
    </row>
    <row r="2608" spans="2:7" x14ac:dyDescent="0.25">
      <c r="B2608" s="12"/>
      <c r="C2608" s="12"/>
      <c r="D2608" s="15"/>
      <c r="E2608" s="19"/>
      <c r="F2608" s="19"/>
      <c r="G2608" s="12"/>
    </row>
    <row r="2609" spans="2:7" x14ac:dyDescent="0.25">
      <c r="B2609" s="12"/>
      <c r="C2609" s="12"/>
      <c r="D2609" s="15"/>
      <c r="E2609" s="19"/>
      <c r="F2609" s="19"/>
      <c r="G2609" s="12"/>
    </row>
    <row r="2610" spans="2:7" x14ac:dyDescent="0.25">
      <c r="B2610" s="12"/>
      <c r="C2610" s="12"/>
      <c r="D2610" s="15"/>
      <c r="E2610" s="19"/>
      <c r="F2610" s="19"/>
      <c r="G2610" s="12"/>
    </row>
    <row r="2611" spans="2:7" x14ac:dyDescent="0.25">
      <c r="B2611" s="12"/>
      <c r="C2611" s="12"/>
      <c r="D2611" s="15"/>
      <c r="E2611" s="19"/>
      <c r="F2611" s="19"/>
      <c r="G2611" s="12"/>
    </row>
    <row r="2612" spans="2:7" x14ac:dyDescent="0.25">
      <c r="B2612" s="12"/>
      <c r="C2612" s="12"/>
      <c r="D2612" s="15"/>
      <c r="E2612" s="19"/>
      <c r="F2612" s="19"/>
      <c r="G2612" s="12"/>
    </row>
    <row r="2613" spans="2:7" x14ac:dyDescent="0.25">
      <c r="B2613" s="12"/>
      <c r="C2613" s="12"/>
      <c r="D2613" s="15"/>
      <c r="E2613" s="19"/>
      <c r="F2613" s="19"/>
      <c r="G2613" s="12"/>
    </row>
    <row r="2614" spans="2:7" x14ac:dyDescent="0.25">
      <c r="B2614" s="12"/>
      <c r="C2614" s="12"/>
      <c r="D2614" s="15"/>
      <c r="E2614" s="19"/>
      <c r="F2614" s="19"/>
      <c r="G2614" s="12"/>
    </row>
    <row r="2615" spans="2:7" x14ac:dyDescent="0.25">
      <c r="B2615" s="12"/>
      <c r="C2615" s="12"/>
      <c r="D2615" s="15"/>
      <c r="E2615" s="19"/>
      <c r="F2615" s="19"/>
      <c r="G2615" s="12"/>
    </row>
    <row r="2616" spans="2:7" x14ac:dyDescent="0.25">
      <c r="B2616" s="12"/>
      <c r="C2616" s="12"/>
      <c r="D2616" s="15"/>
      <c r="E2616" s="19"/>
      <c r="F2616" s="19"/>
      <c r="G2616" s="12"/>
    </row>
    <row r="2617" spans="2:7" x14ac:dyDescent="0.25">
      <c r="B2617" s="12"/>
      <c r="C2617" s="12"/>
      <c r="D2617" s="15"/>
      <c r="E2617" s="19"/>
      <c r="F2617" s="19"/>
      <c r="G2617" s="12"/>
    </row>
    <row r="2618" spans="2:7" x14ac:dyDescent="0.25">
      <c r="B2618" s="12"/>
      <c r="C2618" s="12"/>
      <c r="D2618" s="15"/>
      <c r="E2618" s="19"/>
      <c r="F2618" s="19"/>
      <c r="G2618" s="12"/>
    </row>
    <row r="2619" spans="2:7" x14ac:dyDescent="0.25">
      <c r="B2619" s="12"/>
      <c r="C2619" s="12"/>
      <c r="D2619" s="15"/>
      <c r="E2619" s="19"/>
      <c r="F2619" s="19"/>
      <c r="G2619" s="12"/>
    </row>
    <row r="2620" spans="2:7" x14ac:dyDescent="0.25">
      <c r="B2620" s="12"/>
      <c r="C2620" s="12"/>
      <c r="D2620" s="15"/>
      <c r="E2620" s="19"/>
      <c r="F2620" s="19"/>
      <c r="G2620" s="12"/>
    </row>
    <row r="2621" spans="2:7" x14ac:dyDescent="0.25">
      <c r="B2621" s="12"/>
      <c r="C2621" s="12"/>
      <c r="D2621" s="15"/>
      <c r="E2621" s="19"/>
      <c r="F2621" s="19"/>
      <c r="G2621" s="12"/>
    </row>
    <row r="2622" spans="2:7" x14ac:dyDescent="0.25">
      <c r="B2622" s="12"/>
      <c r="C2622" s="12"/>
      <c r="D2622" s="15"/>
      <c r="E2622" s="19"/>
      <c r="F2622" s="19"/>
      <c r="G2622" s="12"/>
    </row>
    <row r="2623" spans="2:7" x14ac:dyDescent="0.25">
      <c r="B2623" s="12"/>
      <c r="C2623" s="12"/>
      <c r="D2623" s="15"/>
      <c r="E2623" s="19"/>
      <c r="F2623" s="19"/>
      <c r="G2623" s="12"/>
    </row>
    <row r="2624" spans="2:7" x14ac:dyDescent="0.25">
      <c r="B2624" s="12"/>
      <c r="C2624" s="12"/>
      <c r="D2624" s="15"/>
      <c r="E2624" s="19"/>
      <c r="F2624" s="19"/>
      <c r="G2624" s="12"/>
    </row>
    <row r="2625" spans="2:7" x14ac:dyDescent="0.25">
      <c r="B2625" s="12"/>
      <c r="C2625" s="12"/>
      <c r="D2625" s="15"/>
      <c r="E2625" s="19"/>
      <c r="F2625" s="19"/>
      <c r="G2625" s="12"/>
    </row>
    <row r="2626" spans="2:7" x14ac:dyDescent="0.25">
      <c r="B2626" s="12"/>
      <c r="C2626" s="12"/>
      <c r="D2626" s="15"/>
      <c r="E2626" s="19"/>
      <c r="F2626" s="19"/>
      <c r="G2626" s="12"/>
    </row>
    <row r="2627" spans="2:7" x14ac:dyDescent="0.25">
      <c r="B2627" s="12"/>
      <c r="C2627" s="12"/>
      <c r="D2627" s="15"/>
      <c r="E2627" s="19"/>
      <c r="F2627" s="19"/>
      <c r="G2627" s="12"/>
    </row>
    <row r="2628" spans="2:7" x14ac:dyDescent="0.25">
      <c r="B2628" s="12"/>
      <c r="C2628" s="12"/>
      <c r="D2628" s="15"/>
      <c r="E2628" s="19"/>
      <c r="F2628" s="19"/>
      <c r="G2628" s="12"/>
    </row>
    <row r="2629" spans="2:7" x14ac:dyDescent="0.25">
      <c r="B2629" s="12"/>
      <c r="C2629" s="12"/>
      <c r="D2629" s="15"/>
      <c r="E2629" s="19"/>
      <c r="F2629" s="19"/>
      <c r="G2629" s="12"/>
    </row>
    <row r="2630" spans="2:7" x14ac:dyDescent="0.25">
      <c r="B2630" s="12"/>
      <c r="C2630" s="12"/>
      <c r="D2630" s="15"/>
      <c r="E2630" s="19"/>
      <c r="F2630" s="19"/>
      <c r="G2630" s="12"/>
    </row>
    <row r="2631" spans="2:7" x14ac:dyDescent="0.25">
      <c r="B2631" s="12"/>
      <c r="C2631" s="12"/>
      <c r="D2631" s="15"/>
      <c r="E2631" s="19"/>
      <c r="F2631" s="19"/>
      <c r="G2631" s="12"/>
    </row>
    <row r="2632" spans="2:7" x14ac:dyDescent="0.25">
      <c r="B2632" s="12"/>
      <c r="C2632" s="12"/>
      <c r="D2632" s="15"/>
      <c r="E2632" s="19"/>
      <c r="F2632" s="19"/>
      <c r="G2632" s="12"/>
    </row>
    <row r="2633" spans="2:7" x14ac:dyDescent="0.25">
      <c r="B2633" s="12"/>
      <c r="C2633" s="12"/>
      <c r="D2633" s="15"/>
      <c r="E2633" s="19"/>
      <c r="F2633" s="19"/>
      <c r="G2633" s="12"/>
    </row>
  </sheetData>
  <mergeCells count="48">
    <mergeCell ref="C109:D109"/>
    <mergeCell ref="B65:G65"/>
    <mergeCell ref="C38:C40"/>
    <mergeCell ref="D83:D84"/>
    <mergeCell ref="D73:D75"/>
    <mergeCell ref="C107:D107"/>
    <mergeCell ref="C106:D106"/>
    <mergeCell ref="D90:D91"/>
    <mergeCell ref="B38:B40"/>
    <mergeCell ref="D85:D86"/>
    <mergeCell ref="D66:D72"/>
    <mergeCell ref="D76:D78"/>
    <mergeCell ref="B47:G47"/>
    <mergeCell ref="B41:B45"/>
    <mergeCell ref="D92:D93"/>
    <mergeCell ref="C105:D105"/>
    <mergeCell ref="B2:G2"/>
    <mergeCell ref="I33:K33"/>
    <mergeCell ref="B29:B35"/>
    <mergeCell ref="B36:G36"/>
    <mergeCell ref="I34:K34"/>
    <mergeCell ref="B6:G6"/>
    <mergeCell ref="B3:G3"/>
    <mergeCell ref="I30:K30"/>
    <mergeCell ref="C29:C35"/>
    <mergeCell ref="I15:T15"/>
    <mergeCell ref="B4:G4"/>
    <mergeCell ref="I7:L12"/>
    <mergeCell ref="C24:C28"/>
    <mergeCell ref="B22:G22"/>
    <mergeCell ref="B16:G16"/>
    <mergeCell ref="B7:B12"/>
    <mergeCell ref="D7:D9"/>
    <mergeCell ref="D10:D12"/>
    <mergeCell ref="B24:B28"/>
    <mergeCell ref="I98:N98"/>
    <mergeCell ref="I82:O82"/>
    <mergeCell ref="I76:P77"/>
    <mergeCell ref="I40:L40"/>
    <mergeCell ref="I38:N38"/>
    <mergeCell ref="I46:N46"/>
    <mergeCell ref="C41:C45"/>
    <mergeCell ref="I60:N60"/>
    <mergeCell ref="B101:G101"/>
    <mergeCell ref="I87:N87"/>
    <mergeCell ref="I88:N88"/>
    <mergeCell ref="I86:N86"/>
    <mergeCell ref="D87:D88"/>
  </mergeCells>
  <pageMargins left="0.23622047244094491" right="0.23622047244094491" top="0.74803149606299213" bottom="0.74803149606299213" header="0.31496062992125984" footer="0.31496062992125984"/>
  <pageSetup paperSize="9" scale="88" orientation="portrait" horizontalDpi="300" verticalDpi="300" r:id="rId1"/>
  <headerFooter alignWithMargins="0">
    <oddFooter>Страница &amp;P&amp;R&amp;A</oddFooter>
  </headerFooter>
  <rowBreaks count="1" manualBreakCount="1">
    <brk id="10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Калькулятор</vt:lpstr>
      <vt:lpstr>Смета </vt:lpstr>
      <vt:lpstr>Лист2</vt:lpstr>
      <vt:lpstr>Расценки рабочих</vt:lpstr>
      <vt:lpstr>Закупные</vt:lpstr>
      <vt:lpstr>Закупные!Область_печати</vt:lpstr>
      <vt:lpstr>Лист2!Область_печати</vt:lpstr>
    </vt:vector>
  </TitlesOfParts>
  <Company>Тимбер Продукт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</cp:lastModifiedBy>
  <cp:lastPrinted>2021-03-28T10:36:45Z</cp:lastPrinted>
  <dcterms:created xsi:type="dcterms:W3CDTF">2004-05-05T05:34:38Z</dcterms:created>
  <dcterms:modified xsi:type="dcterms:W3CDTF">2021-03-29T12:52:02Z</dcterms:modified>
</cp:coreProperties>
</file>